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695" tabRatio="645" activeTab="0"/>
  </bookViews>
  <sheets>
    <sheet name="гос 2017" sheetId="1" r:id="rId1"/>
    <sheet name="мун 2017 " sheetId="2" r:id="rId2"/>
  </sheets>
  <externalReferences>
    <externalReference r:id="rId5"/>
  </externalReferences>
  <definedNames>
    <definedName name="_xlnm._FilterDatabase" localSheetId="0" hidden="1">'гос 2017'!$A$7:$M$221</definedName>
    <definedName name="_xlnm._FilterDatabase" localSheetId="1" hidden="1">'мун 2017 '!$B$7:$I$436</definedName>
    <definedName name="_xlnm.Print_Titles" localSheetId="0">'гос 2017'!$7:$8</definedName>
    <definedName name="_xlnm.Print_Titles" localSheetId="1">'мун 2017 '!$7:$8</definedName>
    <definedName name="_xlnm.Print_Area" localSheetId="0">'гос 2017'!$A$1:$P$250</definedName>
    <definedName name="_xlnm.Print_Area" localSheetId="1">'мун 2017 '!$A$1:$P$479</definedName>
  </definedNames>
  <calcPr fullCalcOnLoad="1"/>
</workbook>
</file>

<file path=xl/sharedStrings.xml><?xml version="1.0" encoding="utf-8"?>
<sst xmlns="http://schemas.openxmlformats.org/spreadsheetml/2006/main" count="2475" uniqueCount="432">
  <si>
    <t/>
  </si>
  <si>
    <t>рублей</t>
  </si>
  <si>
    <t>Наименование</t>
  </si>
  <si>
    <t>ГП</t>
  </si>
  <si>
    <t>ППГП</t>
  </si>
  <si>
    <t>ГРБС</t>
  </si>
  <si>
    <t>Рз</t>
  </si>
  <si>
    <t>Пр</t>
  </si>
  <si>
    <t>НР</t>
  </si>
  <si>
    <t>ВР</t>
  </si>
  <si>
    <t>1</t>
  </si>
  <si>
    <t>2</t>
  </si>
  <si>
    <t>3</t>
  </si>
  <si>
    <t>11</t>
  </si>
  <si>
    <t>01</t>
  </si>
  <si>
    <t>02</t>
  </si>
  <si>
    <t>04</t>
  </si>
  <si>
    <t>05</t>
  </si>
  <si>
    <t>Национальная экономика</t>
  </si>
  <si>
    <t>08</t>
  </si>
  <si>
    <t>Образование</t>
  </si>
  <si>
    <t>07</t>
  </si>
  <si>
    <t>09</t>
  </si>
  <si>
    <t>Жилищно-коммунальное хозяйство</t>
  </si>
  <si>
    <t>Коммунальное хозяйство</t>
  </si>
  <si>
    <t>Департамент строительства и архитектуры Брянской области</t>
  </si>
  <si>
    <t>819</t>
  </si>
  <si>
    <t>Бюджетные инвестиции в объекты капитальных вложений государственной собственности</t>
  </si>
  <si>
    <t>Бюджетные инвестиции в объекты капитального строительства государственной (муниципальной) cобственности</t>
  </si>
  <si>
    <t>414</t>
  </si>
  <si>
    <t>15</t>
  </si>
  <si>
    <t>Культура, кинематография</t>
  </si>
  <si>
    <t>Культура</t>
  </si>
  <si>
    <t>Развитие образования и науки Брянской области (2014 - 2020 годы)</t>
  </si>
  <si>
    <t>16</t>
  </si>
  <si>
    <t>Дошкольное образование</t>
  </si>
  <si>
    <t>Общее образование</t>
  </si>
  <si>
    <t>17</t>
  </si>
  <si>
    <t>19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</si>
  <si>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</si>
  <si>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Подпрограмма "Развитие социальной и инженерной инфраструктуры Брянской области" (2014 - 2020 годы)</t>
  </si>
  <si>
    <t>Подпрограмма "Автомобильные дороги" (2014 - 2020 годы)</t>
  </si>
  <si>
    <t>Дорожное хозяйство (дорожные фонды)</t>
  </si>
  <si>
    <t>Развитие и совершенствование сети автомобильных дорог регионального значения общего пользования</t>
  </si>
  <si>
    <t>Развитие физической культуры и спорта Брянской области (2014 - 2020 годы)</t>
  </si>
  <si>
    <t>25</t>
  </si>
  <si>
    <t>Физическая культура и спорт</t>
  </si>
  <si>
    <t>Физическая культура</t>
  </si>
  <si>
    <t>Массовый спорт</t>
  </si>
  <si>
    <t>в том числе:</t>
  </si>
  <si>
    <t>Еди-  ница изме-  рения</t>
  </si>
  <si>
    <t>Мощ- ность</t>
  </si>
  <si>
    <t>Срок ввода в действие</t>
  </si>
  <si>
    <t>мест</t>
  </si>
  <si>
    <t>Заказчик: ГКУ "Управление капитального строительства Брянской области"</t>
  </si>
  <si>
    <t>Карачевский район</t>
  </si>
  <si>
    <t>Брянский район</t>
  </si>
  <si>
    <t>Суражский район</t>
  </si>
  <si>
    <t>км</t>
  </si>
  <si>
    <t>Злынковский район</t>
  </si>
  <si>
    <t>Комаричский район</t>
  </si>
  <si>
    <t>Навлинский район</t>
  </si>
  <si>
    <t>г. Клинцы</t>
  </si>
  <si>
    <t>г.Стародуб</t>
  </si>
  <si>
    <t>Климовский район</t>
  </si>
  <si>
    <t>Клетнянский район</t>
  </si>
  <si>
    <t>Трубчевский район</t>
  </si>
  <si>
    <t>Заказчик: КУ "Управление автомобильных дорог Брянской области"</t>
  </si>
  <si>
    <t>чел.в смену</t>
  </si>
  <si>
    <t>ОБЪЕКТЫ МУНИЦИПАЛЬНОЙ СОБСТВЕННОСТИ, ВСЕГО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</si>
  <si>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</si>
  <si>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</si>
  <si>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Жуковский район</t>
  </si>
  <si>
    <t>Развитие и совершенствование сети автомобильных дорог местного значения общего пользования</t>
  </si>
  <si>
    <t>Софинансирование объектов капитальных вложений муниципальной собственности</t>
  </si>
  <si>
    <t>г.Брянск</t>
  </si>
  <si>
    <t>Строительство систем газоснабжения для населенных пунктов Брянской области</t>
  </si>
  <si>
    <t>Строительство систем водоснабжения для населенных пунктов Брянской области</t>
  </si>
  <si>
    <t>Другие вопросы в области национальной экономики</t>
  </si>
  <si>
    <t>Брасовский район</t>
  </si>
  <si>
    <t>Клинцовский район</t>
  </si>
  <si>
    <t>Стародубский район</t>
  </si>
  <si>
    <t>Почепский район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</si>
  <si>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</si>
  <si>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м2</t>
  </si>
  <si>
    <t xml:space="preserve">Комаричский район </t>
  </si>
  <si>
    <t>Погарский район</t>
  </si>
  <si>
    <t>Устойчивое развитие сельских территорий</t>
  </si>
  <si>
    <t>Дубровский район</t>
  </si>
  <si>
    <t>Унечский район</t>
  </si>
  <si>
    <t>уч. мест</t>
  </si>
  <si>
    <t>Детский сад-ясли в микрорайоне по ул.Флотской в Бежицком районе г.Брянска</t>
  </si>
  <si>
    <t>Обустройство горнолыжной трассы в Советском районе г. Брянска</t>
  </si>
  <si>
    <t>Бассейн по ул. 2-я Мичурина в Володарском районе в г.Брянске</t>
  </si>
  <si>
    <t>Очистные сооружения н.п. Навля</t>
  </si>
  <si>
    <t>Сельский Дом культуры на 200 мест в п.Погребы Брасовского района</t>
  </si>
  <si>
    <t>Мглинский район</t>
  </si>
  <si>
    <t>Дятьковский район</t>
  </si>
  <si>
    <t>ОМ</t>
  </si>
  <si>
    <t>Развитие инфраструктуры сферы образования</t>
  </si>
  <si>
    <t>Развитие инфраструктуры сферы культуры</t>
  </si>
  <si>
    <t>Осуществление единой государственной политики и нормативное правовое регулирование в сфере строительства, архитектуры, градостроительства, жилищной политики</t>
  </si>
  <si>
    <t>Газификация населенных пунктов и объектов социальной инфраструктуры, модернизация объектов коммунальной инфраструктуры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</si>
  <si>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</si>
  <si>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Развитие инфраструктуры сферы физической культуры и спорта</t>
  </si>
  <si>
    <t>Реализация мероприятий по государственной поддержке субъектов малого и среднего предпринимательства в Брянской области</t>
  </si>
  <si>
    <t>Трубчевский  район</t>
  </si>
  <si>
    <t>Выгоничский район</t>
  </si>
  <si>
    <t>Перевод отопления учреждений и организаций социально-культурной сферы на природный газ</t>
  </si>
  <si>
    <t>м3/сут</t>
  </si>
  <si>
    <t>чел/см</t>
  </si>
  <si>
    <t>2018г.                 (1 этап)</t>
  </si>
  <si>
    <t xml:space="preserve">Реконструкция мостового перехода через р.Десна на км 6+681 автомобильной дороги "Брянск-Смоленск"-Жуковка в Жуковском районе Брянской области </t>
  </si>
  <si>
    <t>Рогнединский район</t>
  </si>
  <si>
    <t>ОБЪЕКТЫ ГОСУДАРСТВЕННОЙ СОБСТВЕННОСТИ, ВСЕГО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</si>
  <si>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</si>
  <si>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>г. Стародуб</t>
  </si>
  <si>
    <t>Водоснабжение н.п. Занковка</t>
  </si>
  <si>
    <t>Суземский район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</si>
  <si>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 за счет средств бюджета субъекта Российской Федерации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</si>
  <si>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строительства, реконструкцию и ремонт уникальных искусственных дорожных сооружений по решениям Правительства Российской Федерации за счет средств бюджета субъекта Российской Федерации</t>
  </si>
  <si>
    <t>Реконструкция стадиона "Десна" в Бежицком районе, г. Брянск (в том числе 1 этап реконструкции)</t>
  </si>
  <si>
    <t>Субсидии на софинасирование капитальных вложений в объекты государственной (муниципальной) собственности</t>
  </si>
  <si>
    <t>г. Брянск</t>
  </si>
  <si>
    <t>Экономическое развитие, инвестиционная политика и инновационная экономика Брянской области (2014-2020 годы)</t>
  </si>
  <si>
    <t>Государственная поддержка малого и среднего предпринимательства в Брянской области (2014-2020 годы)</t>
  </si>
  <si>
    <t>Создание промышленных парков на территории Брянской области</t>
  </si>
  <si>
    <t>Создание новых мест в общеобразовательных организациях</t>
  </si>
  <si>
    <t>Реконструкция здания библиотеки (бывшего кинотеатра "Родина") в п.г.т.Климово</t>
  </si>
  <si>
    <t xml:space="preserve">«Создание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обучения» (2016-2025 годы) </t>
  </si>
  <si>
    <t>Детский сад г. Стародуб Брянской области</t>
  </si>
  <si>
    <t>Новозыбковский район</t>
  </si>
  <si>
    <t>кВт</t>
  </si>
  <si>
    <t>Брянский областной промышленный парк по ул. Красноармейской д.103. Реконструкция</t>
  </si>
  <si>
    <t>Пристройка на 500 мест к МБОУ "Снежская гимназия" Брянского района в п. Путевка Брянского района Брянской области</t>
  </si>
  <si>
    <t>Строительство школы на 500 мест по адресу: Брянская область, г.Стародуб, пер. Красноармейский, №7 А</t>
  </si>
  <si>
    <t>Бюджетные инвестиции в объекты капитальных вложений муниципальной собственности</t>
  </si>
  <si>
    <t>Средняя общеобразовательная школа на 160 мест в н.п. Свень Брянского района</t>
  </si>
  <si>
    <t>Газопровод низкого давления по ул.Новой и ул.Калинина в с.Малфа Выгоничского района Брянской области</t>
  </si>
  <si>
    <t>Газификация ул. Дегтярева, Луговой, Заречной в н.п. Дятьковичи Жуковского района Брянской  области</t>
  </si>
  <si>
    <t>Газификация ул. Партизанской в н.п. Верхополье Карачевского района Брянской области</t>
  </si>
  <si>
    <t>Газификация н.п. Михайловка Климовского района</t>
  </si>
  <si>
    <t>Газификация н.п. Старый Ропск Климовского района</t>
  </si>
  <si>
    <t>Газификация н.п.Затишье Клинцовского района</t>
  </si>
  <si>
    <t>Газификация н.п. Полховка Мглинского района</t>
  </si>
  <si>
    <t>Газификация н.п. Большая Ловча Суражского района</t>
  </si>
  <si>
    <t>Газификация н.п. Острая Лука Трубчевского района</t>
  </si>
  <si>
    <t>Водоснабжение н.п. Ржаница Жуковского района Брянской области. Микрорайон "Пригородный"</t>
  </si>
  <si>
    <t>Реконструкция водопровода н.п. Петрятинка по ул.Южной Злынковского района Брянской области</t>
  </si>
  <si>
    <t>Реконструкция водоснабжения н.п. Ширковка Клетнянского района</t>
  </si>
  <si>
    <t>Реконструкция водоснабжения н.п.Зубовка Навлинского района Брянской области (1 очередь строительства) (дополнительные работы)</t>
  </si>
  <si>
    <t>Реконструкция водопроводных сетей в  н.п. Вороново Рогнединского района Брянской области</t>
  </si>
  <si>
    <t>Реконструкция водоснабжения н.п.Меленск Стародубского района</t>
  </si>
  <si>
    <t>г.Новозыбков</t>
  </si>
  <si>
    <t>Водозаборные сооружения в н.п. Озаренный Почепского района</t>
  </si>
  <si>
    <t>г. Новозыбков</t>
  </si>
  <si>
    <t>Газификация детского сада "Ромашка" с.Семцы Почепского района</t>
  </si>
  <si>
    <t>Газификация н.п.Комаричи Комаричского района</t>
  </si>
  <si>
    <t>Газопровод низкого давления по ул. Дружбы в пгт. Погар Брянской области</t>
  </si>
  <si>
    <t>Газификация ФАП н.п. Павловичи Суземского района Брянской области</t>
  </si>
  <si>
    <t>Реконструкция котельной, расположенной по адресу: Брянская область, г. Трубчевск, ул. Свердлова, д.65 МБДОУ Трубчевский детский сад комбинированного вида "Журавлик"</t>
  </si>
  <si>
    <t>г.Карачев</t>
  </si>
  <si>
    <t>Реконструкция водоснабжения н.п.Радутино Трубчевского района Брянской области</t>
  </si>
  <si>
    <t>Школа на 504 учащихся (бассейн) н.п.Добрунь Брянского района Брянской области</t>
  </si>
  <si>
    <t>16140</t>
  </si>
  <si>
    <t>Реконструкция автомобильной дороги  "Украина"-Белые Берега в Брянском районе Брянской области</t>
  </si>
  <si>
    <t>Строительство автомобильной дороги Небольсинский - станция Эдазия в Жуковском районе Брянской области</t>
  </si>
  <si>
    <t>Реконструкция Первомайского моста через р. Десна в Бежицком районе г. Брянска (2 пусковой комплекс)</t>
  </si>
  <si>
    <t>Строительство автомобильной дороги Марьинка-Заречная в Комаричском районе Брянской области</t>
  </si>
  <si>
    <t>2017</t>
  </si>
  <si>
    <t>Департамент сельского хозяйства Брянской области</t>
  </si>
  <si>
    <t>817</t>
  </si>
  <si>
    <t>Сельское хозяйство и рыболовство</t>
  </si>
  <si>
    <t>Газоснабжение микрорайона комплексной жилой застройки в н.п.Меленск Стародубского района Брянской области</t>
  </si>
  <si>
    <t>Водоснабжение микрорайона комплексной жилой застройки в н.п.Меленск Стародубского района Брянской области</t>
  </si>
  <si>
    <t>Электроснабжение микрорайона комплексной жилой застройки в н.п.Меленск Стародубского района Брянской области</t>
  </si>
  <si>
    <t>Софинансирование объектов капитальных вложений государственной (муниципальной) собственности</t>
  </si>
  <si>
    <t>Нераспределенный резерв</t>
  </si>
  <si>
    <t>Строительство здания столовой Трубчевского психоневрологического интерната в н.п.Кветунь Трубчевского района Брянской области</t>
  </si>
  <si>
    <t>Управление физической культуры и спорта Брянской области</t>
  </si>
  <si>
    <t>Заказчик: ГАУ "Спортивный клуб "Брянск"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</si>
  <si>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</si>
  <si>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Реконструкция  закрытого ледового стадиона "Десна", г.Брянск, ул.Кромская д.48а</t>
  </si>
  <si>
    <t>Развитие топливно-энергетического комплекса и жилищно-коммунального хозяйства Брянской области (2014 - 2020 годы)</t>
  </si>
  <si>
    <t>Подпрограмма "Чистая вода" (2015 - 2020 годы)</t>
  </si>
  <si>
    <t>Осуществление строительства систем водоснабжения для населенных пунктов Брянской области, увеличение энергоэффективности технологических процессов в сфере водопроводного хозяйства</t>
  </si>
  <si>
    <t>Департамент топливно-энергетического комплекса и жилищно-коммунального хозяйства Брянской области</t>
  </si>
  <si>
    <t>11270</t>
  </si>
  <si>
    <t>Строительство и реконструкция систем водоснабжения для населенных пунктов Брянской области</t>
  </si>
  <si>
    <t xml:space="preserve">Городской округ "город  Сельцо" </t>
  </si>
  <si>
    <t>Гордеевский район</t>
  </si>
  <si>
    <t>Красногорский район</t>
  </si>
  <si>
    <t>4 кв 2017</t>
  </si>
  <si>
    <t>Водозаборное сооружение н.п. Старый Кривец Новозыбковского района</t>
  </si>
  <si>
    <t>Департамент культуры Брянской области</t>
  </si>
  <si>
    <t>Заказчик: ГБУК "Брянский государственный краеведческий музей"</t>
  </si>
  <si>
    <t>Реализация мероприятий федеральной целевой программы "Культура России (2012 - 2018 годы)" за счет средств бюджета субъекта Российской Федерации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</si>
  <si>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</si>
  <si>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Реконструкция музея-усадьбы А.К. Толстого. Брянская обл., Почепский р-н, с. Красный Рог</t>
  </si>
  <si>
    <t>Реконструкция Охотничьего замка (здания литературно-мемориального музея А.К.Толстого) в с.Красный Рог Почепского района Брянской области</t>
  </si>
  <si>
    <t>Охрана окружающей среды, воспроизводство и использование природных ресурсов Брянской области (2014 - 2020 годы)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</si>
  <si>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</si>
  <si>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Департамент природных ресурсов и экологии Брянской области</t>
  </si>
  <si>
    <t>Охрана окружающей среды</t>
  </si>
  <si>
    <t>808</t>
  </si>
  <si>
    <t>06</t>
  </si>
  <si>
    <t>Другие вопросы в области охраны окружающей среды</t>
  </si>
  <si>
    <t>Реконструкция очистных сооружений в г. Стародуб</t>
  </si>
  <si>
    <t>0</t>
  </si>
  <si>
    <t>51</t>
  </si>
  <si>
    <t>куб.м/сут.</t>
  </si>
  <si>
    <t>Строительство полигона ТБО в пгт.Красная Гора</t>
  </si>
  <si>
    <t>12</t>
  </si>
  <si>
    <t xml:space="preserve">Коммунальное хозяйство </t>
  </si>
  <si>
    <t>812</t>
  </si>
  <si>
    <t xml:space="preserve"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 собственность  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</si>
  <si>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</si>
  <si>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 государственным (муниципальным) унитарным предприятиям</t>
  </si>
  <si>
    <t>466</t>
  </si>
  <si>
    <t>Содействие реформированию ЖКХ, создание благоприятных условий для проживания граждан</t>
  </si>
  <si>
    <t>МВт/км</t>
  </si>
  <si>
    <t>Строительство блочно-модульной котельной 8 МВт в г. Брянск по ул. Белобережская</t>
  </si>
  <si>
    <t>8/0,04</t>
  </si>
  <si>
    <t>5/0,056</t>
  </si>
  <si>
    <t>11260</t>
  </si>
  <si>
    <t>Социальная и демографическая политика Брянской области (2014 – 2020 годы)</t>
  </si>
  <si>
    <t>21</t>
  </si>
  <si>
    <t>Модернизация сети и повышение эффективности работы учреждений социального обслуживания населения</t>
  </si>
  <si>
    <t>Социальная политика</t>
  </si>
  <si>
    <t>10</t>
  </si>
  <si>
    <t>Социальное обслуживание населения</t>
  </si>
  <si>
    <t>м3</t>
  </si>
  <si>
    <t>Заказчик: ГУП "Брянсккоммунэнерго"</t>
  </si>
  <si>
    <t>"Производственный корпус ГУП "Унечский ветсанутильзавод" Брянской области (цех по производству мясокостной муки)</t>
  </si>
  <si>
    <t>Обеспечение притока кадров в отрасль сельского хозяйства и закрепление их на селе, расширение межрегиональных торговых связей, увеличение (сохранение на оптимальном уровне) объемов переработки сельскохозяйственного сырья</t>
  </si>
  <si>
    <t>Взносы в уставные капиталы хозяйственных обществ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</si>
  <si>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</si>
  <si>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Строительство водозабора в г.Клинцы Брянской области (п.Банный, 2-очередь строительства. 1этап)</t>
  </si>
  <si>
    <t>Развитие здравоохранения Брянской области (2014 - 2020 годы)</t>
  </si>
  <si>
    <t>14</t>
  </si>
  <si>
    <t>Развитие инфраструктуры сферы здравоохранения</t>
  </si>
  <si>
    <t>Здравоохранение</t>
  </si>
  <si>
    <t>Стационарная медицинская помощь</t>
  </si>
  <si>
    <t>т/год</t>
  </si>
  <si>
    <t>га</t>
  </si>
  <si>
    <t>чел/смену</t>
  </si>
  <si>
    <t>R0180</t>
  </si>
  <si>
    <t>Развитие культуры и туризма в Брянской области (2014-2020 годы)</t>
  </si>
  <si>
    <t>в объектах</t>
  </si>
  <si>
    <t>Строительство автомобильной дороги Подъезд к ферме КРС СПК  "Стародубский" в с.Пантусово в Стародубском районе Брянской области</t>
  </si>
  <si>
    <t>Строительство автомобильной дороги Подъезд к ферме КРС ООО "Русское молоко" в с.Нижнее в Стародубском районе Брянской области</t>
  </si>
  <si>
    <t xml:space="preserve">Техническое перевооружение котельной в районе санатория "Жуковский" в г.Жуковка Жуковского района Брянской области </t>
  </si>
  <si>
    <t>Реконструкция котельной по ул. Калинина  в п.г.т. Климово Брянской области</t>
  </si>
  <si>
    <t>Реконструкция котельной  по ул. Мичурина (медучилище) в г.Новозыбков Брянской области</t>
  </si>
  <si>
    <t xml:space="preserve">Реконструкция котельной "Школа №7" по ул. Наримановская в г.Новозыбков Брянской области </t>
  </si>
  <si>
    <t>Реконструкция котельной № 10 по ул. Октябрьская с целью переключения части потребителей от котельной по ул. Крупской (ОАО "Омега") в г. Унеча</t>
  </si>
  <si>
    <t>Реконструкция котельной "Школа №3" по ул. Воровского в г.Новозыбков Брянской области</t>
  </si>
  <si>
    <t>Строительство блочно-модульной котельной по ул. Танкистов в г.Унеча Брянской области</t>
  </si>
  <si>
    <t>МВт</t>
  </si>
  <si>
    <t>0,4</t>
  </si>
  <si>
    <t>0,3</t>
  </si>
  <si>
    <t>0,16</t>
  </si>
  <si>
    <t xml:space="preserve">Городской округ "город  Брянск" </t>
  </si>
  <si>
    <t>Строительство водопроводных сетей микрорайона "Ковшовка" г.Брянск (1 этап)</t>
  </si>
  <si>
    <t>скважина     сети км          наземн. станция</t>
  </si>
  <si>
    <t>1                                       0,029                                      1</t>
  </si>
  <si>
    <t>сети км</t>
  </si>
  <si>
    <t>Реконструкция сетей водоснабжения д.Рудня-Воробьевка Гордеевского района</t>
  </si>
  <si>
    <t xml:space="preserve"> водонап. башня,                сети км</t>
  </si>
  <si>
    <t>Строительство артскважины на действующем водозаборе н.п. Комаричи по переулку 2-й Ленина, Комаричского района Брянской области</t>
  </si>
  <si>
    <t>Строительство водопровода ул. Веркеевка в пгт Погар Погарского района</t>
  </si>
  <si>
    <t>Строительство водопровода ул. Каштановая в пгт Погар Погарского района</t>
  </si>
  <si>
    <t>Севский район</t>
  </si>
  <si>
    <t>Реконструкция станции 2-го подъема воды в г.Севске Брянской области</t>
  </si>
  <si>
    <t>Реконструкция водозаборного сооружения в п. Суземка Суземского района</t>
  </si>
  <si>
    <t>Реконструкция артезианской скважины в н.п. Высокое Унечского района</t>
  </si>
  <si>
    <t>сети  км</t>
  </si>
  <si>
    <t xml:space="preserve">сети  км </t>
  </si>
  <si>
    <t>скважина</t>
  </si>
  <si>
    <t>Создание туристско-рекреационного кластера "Хрустальный город", Брянская область. (Строительство (реконструкция) инженерных сетей и объектов обеспечивающей инфраструктуры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</si>
  <si>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</si>
  <si>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Подпрограмма "Устойчивое развитие сельских территорий" (2017 - 2020 годы)</t>
  </si>
  <si>
    <t>Подпрограмма "Обеспечение общих условий функционирования агропромышленного комплекса" (2017 - 2020 годы)</t>
  </si>
  <si>
    <t>Департамент здравоохранения Брянской области</t>
  </si>
  <si>
    <t xml:space="preserve">Субсидии государственным корпорациям (компаниям) на выполнение возложенных на них государственных полномочий </t>
  </si>
  <si>
    <t>Заказчик: Государственная корпорация по содействию разработке, производству и экспорту высокотехнологичной промышленной продукции "Ростех"</t>
  </si>
  <si>
    <t>коек</t>
  </si>
  <si>
    <t>Проектирование, строительство и ввод в эксплуатацию перинатального центра в рамках реализации программы "Модернизация здравоохранения Брянской области"                       (2011-2017 годы)</t>
  </si>
  <si>
    <t>823</t>
  </si>
  <si>
    <t>Перинатальный центр по адресу: Брянская область, г. Брянск, ул.Камозина, 11, мощностью 130 коек</t>
  </si>
  <si>
    <t>Развитие культуры и туризма в Брянской области                                         (2014 - 2020 годы)</t>
  </si>
  <si>
    <t>Реконструкция театра кукол по ул. Пушкина, 12 в Володарском районе г. Брянска</t>
  </si>
  <si>
    <t>R5270</t>
  </si>
  <si>
    <t>Строительство II очереди "Благоустройство микрорайона "Дружба" с.Глинищево Брянского района Брянской области"</t>
  </si>
  <si>
    <t>кв.м</t>
  </si>
  <si>
    <t>R5200</t>
  </si>
  <si>
    <t>R4950</t>
  </si>
  <si>
    <t>Меленское сельское поселение Стародубского района Брянской области</t>
  </si>
  <si>
    <t>Газопровод низкого давления по ул.Школьной  в н.п.Переторги Выгоничского района Брянской области</t>
  </si>
  <si>
    <t>Газификация н.п. Суховерхово Стародубского района Брянской области</t>
  </si>
  <si>
    <t>Газификация села Рассуха Унечского района ул. Заречная</t>
  </si>
  <si>
    <t>Реконструкция водоснабжения н.п.Красная Слобода Суражского района (1 очередь строительства)</t>
  </si>
  <si>
    <t>Водоснабжение н.п. Шулаковка Унечского района</t>
  </si>
  <si>
    <t>Строительство автомобильной дороги Красное-Кретово (завершающий этап) в Брасовском районе Брянской области</t>
  </si>
  <si>
    <t>Строительство автомобильной дороги Эдазия-Красный Бор в Жуковском районе Брянской области</t>
  </si>
  <si>
    <t>Строительство автомобильной дороги Чаусы-Сопычи в Погарском районе Брянской области</t>
  </si>
  <si>
    <t>Реконструкция автомобильной дороги  "Брянск-Новозыбков"-Мглин на участке км 10+300 - км 20+300, 2 пусковой комплекс км 15+300 - км 20+300 в Почепском районе Брянской области</t>
  </si>
  <si>
    <t xml:space="preserve">Реконструкция автомобильной дороги  "Брянск-Новозыбков"-Мглин на участке км 20+300 - км 30+450 в Почепском районе Брянской области (1 пусковой комплекс на участке км 20+300 - 25+300) </t>
  </si>
  <si>
    <t>Строительство автомобильной дороги Подъезд к ферме КРС в н.п.Азаровка от автомобильной дороги "Погар-Стародуб" - Андрейковичи на км 23+900 в Погарском районе Брянской области</t>
  </si>
  <si>
    <t>Строительство автомобильной дороги Подъезд к МТФ СПК "Западный" в н.п. Гудовка Суражского района Брянской области</t>
  </si>
  <si>
    <t>Строительство автомобильной дороги  - защитной дамбы Брянск 1 – Брянск 2 г.Брянска (1 этап)</t>
  </si>
  <si>
    <t>Строительство автодороги по ул.Романа Брянского на участке между ул.Авиационной и ул. Брянского Фронта в Советском районе                    города Брянска (1 этап)</t>
  </si>
  <si>
    <t>R2090</t>
  </si>
  <si>
    <t>Реконструкция автомобильной дороги "Унеча-Мглин"-Бурчак (с устройством подъезда к н.п.Разрытое) в Мглинском районе Брянской области</t>
  </si>
  <si>
    <t>Детский сад на 75 мест в п.Лопандино Комаричского района Брянской области</t>
  </si>
  <si>
    <t>Газификация ДК н.п. Алешковичи Суземского района Брянской области</t>
  </si>
  <si>
    <t>Водоснабжение н.п. Пятовск Стародубского района Брянской области (1 очередь строительства)</t>
  </si>
  <si>
    <t>Водоснабжение н.п. Б.Дубрава Брянского района Брянской области</t>
  </si>
  <si>
    <t>Газопровод низкого давления по адресу: Брянская область, пгт. Погар, ул.Черниговская</t>
  </si>
  <si>
    <t>Здание хореографического отделения и образцового ансамбля танца "Акварель" МОУ ДОД "ДШИ № 10" по адресу: г.Брянск, ул.Ермакова,23. Реконструкция</t>
  </si>
  <si>
    <t>Водоснабжение н.п. Сачковичи Климовского района Брянской области (1очередь строительства)</t>
  </si>
  <si>
    <t xml:space="preserve">Водоснабжение н.п. Пупково Дятьковского района Брянской области                       (1 очередь строительства) </t>
  </si>
  <si>
    <t xml:space="preserve">Реконструкция автомобильной дороги "Брянск-Новозыбков"-Мглин на участке  км  30+450 -  км 46+040 в Мглинском  районе Брянской области </t>
  </si>
  <si>
    <t>Блочно-модульная котельная для отопления здания по ул. Чапаева, 50 в г.Новозыбкове</t>
  </si>
  <si>
    <t>Строительство водоснабжения в н.п. Сеща Дубровского района Брянской области</t>
  </si>
  <si>
    <t>Перекладка водопровода по улицам Рябиновой и Брянской в деревне Газёновка Карачевского района Брянской области</t>
  </si>
  <si>
    <t>Водопроводная сеть по ул. К.Либкнехта в г.Карачев Брянской области</t>
  </si>
  <si>
    <t>Строительство водонапорной башни в д. Масловка Карачевского района Брянской области</t>
  </si>
  <si>
    <t>Строительство водонапорной башни в п. Березовка Карачевского района Брянской области</t>
  </si>
  <si>
    <t>Строительство канализационных сетей н.п. Комаричи (1 очередь строительства) (1 этап)</t>
  </si>
  <si>
    <t>Амбулаторная помощь</t>
  </si>
  <si>
    <t>Строительство фельдшерско-акушерского пункта в н.п. Гобики Рогнединского района Брянской области</t>
  </si>
  <si>
    <t>Строительство фельдшерско-акушерского пункта в н.п. Тюнино Рогнединского района Брянской области</t>
  </si>
  <si>
    <t>Заказчик: Государственное бюджетное учреждение здравоохранения "Рогнединская центральная районная больница"</t>
  </si>
  <si>
    <t>Газификация ул.Лазурной г.Новозыбков Брянской области (2 очередь)</t>
  </si>
  <si>
    <t>Газификация 116 квартала усадебной застройки (2 очередь) г.Новозыбков Брянской области</t>
  </si>
  <si>
    <t>Газопровод низкого давления по ул. М.Свердловская п.Любохна Дятьковского района Брянской области</t>
  </si>
  <si>
    <t>Реконструкция системы газопотребления здания "Бани" по адресу: г.Трубчевск, ул. Ленина, д.97 путем установки котла наружного размещения (КНР)</t>
  </si>
  <si>
    <t>Водоснабжение н.п. Ивот Дятьковского района Брянской области                           (1 очередь строительства)</t>
  </si>
  <si>
    <t>Водоснабжение н.п. Новенькое Суземского района Брянской области                                       (1 очередь строительства)</t>
  </si>
  <si>
    <t>Строительство автомобильной дороги Подъезд к ферме КРС ООО "Дубровское" от автомобильной дороги "Яблонь-Вороново"-Лутовиновка в Рогнединском районе Брянской области</t>
  </si>
  <si>
    <t>Развитие физической культуры и спорта Брянской области                                                                 (2014 - 2020 годы)</t>
  </si>
  <si>
    <t xml:space="preserve">Строительство плоскостных сооружений в СОШ № 1 г.Севска,                                                                           I этап строительства, II этап строительства (МГН), III этап строительства (ГТО) </t>
  </si>
  <si>
    <t>Модернизация объектов коммунальной инфраструктуры</t>
  </si>
  <si>
    <t>Газификация н.п.Вязовск Дубровского района Брянской области</t>
  </si>
  <si>
    <t>средства федерального бюджета</t>
  </si>
  <si>
    <t>средства областного бюджета</t>
  </si>
  <si>
    <t>средства Пенсионного фонда Российской Федерации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</si>
  <si>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</si>
  <si>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Реализация проектов комплексного обустройства площадок под компактную жилищную застройку в сельской местности</t>
  </si>
  <si>
    <t>Развитие газификации в сельской местности</t>
  </si>
  <si>
    <t>Развитие водоснабжения в сельской местности</t>
  </si>
  <si>
    <t>Подпрограмма "Устойчивое развитие сельских территорий"                           (2017 - 2020 годы)</t>
  </si>
  <si>
    <t>Строительство автодороги по ул.Романа Брянского на участке между ул.Авиационной и ул. Брянского Фронта в Советском районе города Брянска (2 этап)</t>
  </si>
  <si>
    <t xml:space="preserve">Водоснабжение ул. Партизанской, Ромашина, Крыловской и Новой в н.п.Толмачево Брянского района Брянской области                                                                        (2 очередь строительства) </t>
  </si>
  <si>
    <t>Строительство автомобильной дороги Урицкий -Козелкино в Брянском районе Брянской области. (1 этап)</t>
  </si>
  <si>
    <t>Строительство полигона ТБО в пгт. Выгоничи</t>
  </si>
  <si>
    <t>Строительство полигона ТБО в пгт. Погар</t>
  </si>
  <si>
    <t>2018</t>
  </si>
  <si>
    <t>Стротельство водозаборного узла по ул. Цветочная в п.Выгоничи Выгоничского района</t>
  </si>
  <si>
    <t xml:space="preserve"> скважина,  наземная станция,                сети км</t>
  </si>
  <si>
    <t xml:space="preserve">1                              1                                  1,092 </t>
  </si>
  <si>
    <t>1                            3,729</t>
  </si>
  <si>
    <t>скважина,              сети км</t>
  </si>
  <si>
    <t>1                         1,910</t>
  </si>
  <si>
    <t>1                         0,040</t>
  </si>
  <si>
    <t>1                          1                                  0,140</t>
  </si>
  <si>
    <t>Реконструкция системы водоснабжения пос. Гобики Рогнединского района Брянской области (1 очередь)</t>
  </si>
  <si>
    <t>2                                     1</t>
  </si>
  <si>
    <t>резервуар 300м3,   станция повыш. давления</t>
  </si>
  <si>
    <t>Суземское городское поселение Суземского района</t>
  </si>
  <si>
    <t>сети км насосная  станция</t>
  </si>
  <si>
    <t>0,531                                     1</t>
  </si>
  <si>
    <t>Газификация н.п. Буда-Вовницкая Унечского района Брянской области</t>
  </si>
  <si>
    <t>Финансовое обеспечение дорожной деятельности</t>
  </si>
  <si>
    <t>Строительство водозабора по пер.Лермонтова в р.п. Большое Полпино Володарского района города Брянска (1 этап)</t>
  </si>
  <si>
    <t>Водоснабжение улиц частного сектора города Сельцо Брянской области (1 этап) 1 очередь</t>
  </si>
  <si>
    <t>Строительство водозаборного сооружения  в д. Мосток Жуковского городского поселения, расположенного по адресу: г. Жуковка, ул.Калужская</t>
  </si>
  <si>
    <t>Строительство сетей водоснабжения пгт Красная Гора Красногорского района Брянской области (1 очередь)</t>
  </si>
  <si>
    <t>Водозаборное сооружение н.п. Шеломы Новозыбковского района</t>
  </si>
  <si>
    <t>ОТЧЕТ</t>
  </si>
  <si>
    <t xml:space="preserve">об исполнении перечня объектов бюджетных инвестиций </t>
  </si>
  <si>
    <t>государственной собственности Брянской области</t>
  </si>
  <si>
    <t>Утверждено</t>
  </si>
  <si>
    <t>Освоено</t>
  </si>
  <si>
    <t>Исполнено</t>
  </si>
  <si>
    <t>% Исполнения</t>
  </si>
  <si>
    <t>муниципальной собственности Брянской области</t>
  </si>
  <si>
    <t>Приложение 1</t>
  </si>
  <si>
    <t>Приложение 2</t>
  </si>
  <si>
    <t>за январь - сентябрь 2017 года</t>
  </si>
  <si>
    <t xml:space="preserve">Техническое перевооружение котельной по ул. Мичрина (НСХТ) в г. Новозыбков  Брянской области </t>
  </si>
  <si>
    <t>0,5</t>
  </si>
  <si>
    <t>Техническое перевооружение и реконструкция систем теплоснабжения для населенных пунктов Брянской области (нераспределенный остаток)</t>
  </si>
  <si>
    <t>IV квартал 2017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</si>
  <si>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обслуживаниянаселения, оказханием адресной социальной помощи неработающим пенсионерам, обучением компьютерной занятости неработающих пенсионеров</t>
  </si>
  <si>
    <t>Строительство спального корпуса на 120 мест и банно-прачечного комбината Дубровского дома-интерната для умственно отсталых детей (реконструкция корпуса №3)</t>
  </si>
  <si>
    <t>Государственное стационарное учреждение социального обслуживания системы социальной защиты населения "Жуковский дом-интернат для престарелых и инвалидов" г. Жуковка (очистные сооржения)</t>
  </si>
  <si>
    <r>
      <t>м</t>
    </r>
    <r>
      <rPr>
        <sz val="9"/>
        <rFont val="Calibri"/>
        <family val="2"/>
      </rPr>
      <t>³</t>
    </r>
    <r>
      <rPr>
        <sz val="7.2"/>
        <rFont val="Times New Roman"/>
        <family val="1"/>
      </rPr>
      <t>/сут</t>
    </r>
  </si>
  <si>
    <t>Комплексный центр помощи семье и детям в п.г.т. Суземка Брянской области</t>
  </si>
  <si>
    <t>Социальная защита населения, имеющего льготный статус, попавших в трудную жизненную ситуацию, имеющих среднедушевой доход ниже установленного минимума, осуществление мер по улучшению положения отдельных категорий граждан, включая граждан пожилого возраста , повышению степени их социальной защищенности, активизации из учасия в жизни общества</t>
  </si>
  <si>
    <t>Водоснабжение улиц частного сектора города Сельцо Брянской области (1 этап) 2 очередь</t>
  </si>
  <si>
    <t>Строительство водопроводной сети от водозаборной скважины пос. Латыши до дома №1 ул.Молодежной микрорайона "Восточный" г.Жуковка</t>
  </si>
  <si>
    <t>Клетнянское городское поселение Клетнянского района</t>
  </si>
  <si>
    <t xml:space="preserve">Строительство водозаборного сооружения по ул. Войстроченко п.Клетня Клетнянского района </t>
  </si>
  <si>
    <t>скважина      назем. насос станция,                   сети км</t>
  </si>
  <si>
    <t>1                          1                         0,098</t>
  </si>
  <si>
    <t>Строительство сетей водоснабжения пгт. Красная Гора Красногорского района Брянской области (2 очередь)</t>
  </si>
  <si>
    <r>
      <t xml:space="preserve">скваж., </t>
    </r>
    <r>
      <rPr>
        <sz val="7"/>
        <color indexed="8"/>
        <rFont val="Times New Roman"/>
        <family val="1"/>
      </rPr>
      <t>наземн.станция</t>
    </r>
    <r>
      <rPr>
        <sz val="9"/>
        <color indexed="8"/>
        <rFont val="Times New Roman"/>
        <family val="1"/>
      </rPr>
      <t>, сети км</t>
    </r>
  </si>
  <si>
    <t>Погарское городское поселение Погарского района</t>
  </si>
  <si>
    <t>Севское городское поселение Севского района</t>
  </si>
  <si>
    <t>Строительство сетей водоснабжения д. Городцы Трубчевского района Брянской области</t>
  </si>
  <si>
    <t>Дополнительное образование детей</t>
  </si>
  <si>
    <t>03</t>
  </si>
  <si>
    <t>Газификация н.п. Мичурино Клетнянского района Брянской области</t>
  </si>
  <si>
    <t>Строительство газопровода высокого давления к н.п.Мичурино Клетнянского района Брянской области</t>
  </si>
  <si>
    <t>Реконструкция водоснабжения н.п. Остроглядово Стародубского района Брянской области (1 очередь строительства)</t>
  </si>
  <si>
    <t>Реконструкция канализационной сети площадь Октябрьской революции г.Новозыбков</t>
  </si>
  <si>
    <t>Газификация бани Брянская область, рп. Комаричи, ул.Комсомольская, 69</t>
  </si>
  <si>
    <t>Физкультурно-оздоровительный комплекс г. Злынка</t>
  </si>
  <si>
    <t>чел/сут</t>
  </si>
  <si>
    <t>Реконструкция муниципального стадиона "Снежеть" в г.Карачеве Брянской области. Первая очередь строительства (достройка)</t>
  </si>
  <si>
    <t>Физкультурно-оздоровительный комплекс п.г.т. Комаричи (1 этап)</t>
  </si>
  <si>
    <t>Строительство автомобильной дороги Подъезд к ферме КРС ООО "БМК" вблизи н.п. Радичи на км 3+700 авомобильной дороги Сеща-Радичи в Дубровском районе Брянской области</t>
  </si>
  <si>
    <t xml:space="preserve">Строительство автомобильной дороги Подъезд к агрогородку "Гетманобудский"   от автомобильной дороги "Климово-Чуровичи" - Гетманова Буда на км 3+000  в Климовском районе Брянской области  </t>
  </si>
  <si>
    <t>Строительство автомобильной дороги Подъезд к МТФ СПК "Восход" в н.п.Октябрьское на км 15+100 автомобильной дороги Сураж-Гордеевка в Суражском районе Брянской области</t>
  </si>
  <si>
    <t>Строительство автомобильной дороги "Трубчевск-Погар"-Колодезки в Трубчевском районе Брянской области</t>
  </si>
  <si>
    <t>Газификация н.п. Кабановка Мглинского района Брянской области</t>
  </si>
  <si>
    <t>Директор департамента строительства и архитектуры Брянской области</t>
  </si>
  <si>
    <t>Г.Н. Солодун</t>
  </si>
  <si>
    <t>8 (4832) 74-65-47</t>
  </si>
  <si>
    <t>Лебедева Н.Л.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</si>
</sst>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0.000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"/>
    <numFmt numFmtId="192" formatCode="0.00000"/>
    <numFmt numFmtId="193" formatCode="[$-419]General"/>
  </numFmts>
  <fonts count="76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name val="Times New Roman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9"/>
      <color indexed="8"/>
      <name val="Times New Roman"/>
      <family val="1"/>
    </font>
    <font>
      <sz val="9"/>
      <name val="Arial"/>
      <family val="2"/>
    </font>
    <font>
      <sz val="9"/>
      <name val="Times New Roman Cyr"/>
      <family val="0"/>
    </font>
    <font>
      <b/>
      <sz val="9"/>
      <name val="Arial"/>
      <family val="2"/>
    </font>
    <font>
      <sz val="14"/>
      <name val="Times New Roman"/>
      <family val="1"/>
    </font>
    <font>
      <i/>
      <sz val="12"/>
      <name val="Times New Roman"/>
      <family val="1"/>
    </font>
    <font>
      <sz val="7"/>
      <color indexed="8"/>
      <name val="Times New Roman"/>
      <family val="1"/>
    </font>
    <font>
      <sz val="9"/>
      <name val="Calibri"/>
      <family val="2"/>
    </font>
    <font>
      <sz val="7.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</borders>
  <cellStyleXfs count="65">
    <xf numFmtId="0" fontId="0" fillId="0" borderId="0">
      <alignment vertical="top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193" fontId="50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7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9" fillId="30" borderId="8" applyNumberFormat="0" applyFont="0" applyAlignment="0" applyProtection="0"/>
    <xf numFmtId="9" fontId="9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95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8" fillId="0" borderId="10" xfId="54" applyFont="1" applyFill="1" applyBorder="1" applyAlignment="1">
      <alignment horizontal="left" vertical="center" wrapText="1"/>
      <protection/>
    </xf>
    <xf numFmtId="0" fontId="10" fillId="0" borderId="10" xfId="54" applyFont="1" applyFill="1" applyBorder="1" applyAlignment="1">
      <alignment horizontal="center" wrapText="1"/>
      <protection/>
    </xf>
    <xf numFmtId="49" fontId="10" fillId="0" borderId="10" xfId="54" applyNumberFormat="1" applyFont="1" applyFill="1" applyBorder="1" applyAlignment="1">
      <alignment horizontal="center" wrapText="1"/>
      <protection/>
    </xf>
    <xf numFmtId="0" fontId="15" fillId="0" borderId="10" xfId="54" applyFont="1" applyFill="1" applyBorder="1" applyAlignment="1">
      <alignment horizontal="right" wrapText="1"/>
      <protection/>
    </xf>
    <xf numFmtId="0" fontId="10" fillId="0" borderId="10" xfId="54" applyFont="1" applyFill="1" applyBorder="1" applyAlignment="1">
      <alignment horizontal="left" wrapText="1"/>
      <protection/>
    </xf>
    <xf numFmtId="0" fontId="8" fillId="0" borderId="10" xfId="54" applyFont="1" applyFill="1" applyBorder="1" applyAlignment="1">
      <alignment horizontal="left" wrapText="1"/>
      <protection/>
    </xf>
    <xf numFmtId="0" fontId="6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4" fontId="69" fillId="0" borderId="10" xfId="0" applyNumberFormat="1" applyFont="1" applyFill="1" applyBorder="1" applyAlignment="1">
      <alignment horizontal="right" wrapText="1"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70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70" fillId="0" borderId="10" xfId="0" applyNumberFormat="1" applyFont="1" applyFill="1" applyBorder="1" applyAlignment="1">
      <alignment horizontal="right" wrapText="1"/>
    </xf>
    <xf numFmtId="4" fontId="71" fillId="0" borderId="10" xfId="0" applyNumberFormat="1" applyFont="1" applyFill="1" applyBorder="1" applyAlignment="1">
      <alignment horizontal="right" wrapText="1"/>
    </xf>
    <xf numFmtId="4" fontId="8" fillId="0" borderId="10" xfId="54" applyNumberFormat="1" applyFont="1" applyFill="1" applyBorder="1" applyAlignment="1">
      <alignment horizontal="right" wrapText="1"/>
      <protection/>
    </xf>
    <xf numFmtId="4" fontId="10" fillId="0" borderId="10" xfId="54" applyNumberFormat="1" applyFont="1" applyFill="1" applyBorder="1" applyAlignment="1">
      <alignment horizontal="right" wrapText="1"/>
      <protection/>
    </xf>
    <xf numFmtId="4" fontId="8" fillId="0" borderId="10" xfId="0" applyNumberFormat="1" applyFont="1" applyFill="1" applyBorder="1" applyAlignment="1">
      <alignment horizontal="right" wrapText="1"/>
    </xf>
    <xf numFmtId="4" fontId="72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wrapText="1"/>
    </xf>
    <xf numFmtId="182" fontId="15" fillId="0" borderId="10" xfId="0" applyNumberFormat="1" applyFont="1" applyFill="1" applyBorder="1" applyAlignment="1">
      <alignment horizontal="right" wrapText="1"/>
    </xf>
    <xf numFmtId="49" fontId="71" fillId="0" borderId="10" xfId="0" applyNumberFormat="1" applyFont="1" applyFill="1" applyBorder="1" applyAlignment="1">
      <alignment horizontal="center" wrapText="1"/>
    </xf>
    <xf numFmtId="0" fontId="71" fillId="0" borderId="10" xfId="0" applyFont="1" applyFill="1" applyBorder="1" applyAlignment="1" applyProtection="1">
      <alignment wrapText="1"/>
      <protection locked="0"/>
    </xf>
    <xf numFmtId="0" fontId="70" fillId="0" borderId="10" xfId="0" applyFont="1" applyFill="1" applyBorder="1" applyAlignment="1">
      <alignment wrapText="1"/>
    </xf>
    <xf numFmtId="49" fontId="70" fillId="0" borderId="10" xfId="0" applyNumberFormat="1" applyFont="1" applyFill="1" applyBorder="1" applyAlignment="1" applyProtection="1">
      <alignment horizontal="center" wrapText="1"/>
      <protection locked="0"/>
    </xf>
    <xf numFmtId="0" fontId="70" fillId="0" borderId="10" xfId="0" applyFont="1" applyFill="1" applyBorder="1" applyAlignment="1" applyProtection="1">
      <alignment horizontal="center" wrapText="1"/>
      <protection locked="0"/>
    </xf>
    <xf numFmtId="0" fontId="73" fillId="0" borderId="10" xfId="0" applyFont="1" applyFill="1" applyBorder="1" applyAlignment="1" applyProtection="1">
      <alignment horizontal="right" wrapText="1"/>
      <protection locked="0"/>
    </xf>
    <xf numFmtId="0" fontId="73" fillId="0" borderId="10" xfId="0" applyFont="1" applyFill="1" applyBorder="1" applyAlignment="1" applyProtection="1">
      <alignment horizontal="right"/>
      <protection locked="0"/>
    </xf>
    <xf numFmtId="0" fontId="72" fillId="0" borderId="10" xfId="0" applyFont="1" applyFill="1" applyBorder="1" applyAlignment="1">
      <alignment wrapText="1"/>
    </xf>
    <xf numFmtId="0" fontId="71" fillId="0" borderId="10" xfId="0" applyFont="1" applyFill="1" applyBorder="1" applyAlignment="1">
      <alignment wrapText="1"/>
    </xf>
    <xf numFmtId="4" fontId="15" fillId="0" borderId="10" xfId="0" applyNumberFormat="1" applyFont="1" applyFill="1" applyBorder="1" applyAlignment="1">
      <alignment horizontal="right" wrapText="1"/>
    </xf>
    <xf numFmtId="0" fontId="69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wrapText="1"/>
    </xf>
    <xf numFmtId="0" fontId="69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horizontal="right" wrapText="1"/>
    </xf>
    <xf numFmtId="1" fontId="15" fillId="0" borderId="10" xfId="0" applyNumberFormat="1" applyFont="1" applyFill="1" applyBorder="1" applyAlignment="1">
      <alignment horizontal="right" wrapText="1"/>
    </xf>
    <xf numFmtId="185" fontId="15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vertical="justify"/>
    </xf>
    <xf numFmtId="49" fontId="10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181" fontId="4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 horizontal="left" wrapText="1" readingOrder="1"/>
    </xf>
    <xf numFmtId="0" fontId="6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justify"/>
    </xf>
    <xf numFmtId="0" fontId="0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4" fontId="70" fillId="0" borderId="10" xfId="0" applyNumberFormat="1" applyFont="1" applyFill="1" applyBorder="1" applyAlignment="1">
      <alignment vertical="top" wrapText="1"/>
    </xf>
    <xf numFmtId="4" fontId="7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2" fillId="0" borderId="12" xfId="0" applyFont="1" applyFill="1" applyBorder="1" applyAlignment="1">
      <alignment horizontal="left" vertical="center" wrapText="1"/>
    </xf>
    <xf numFmtId="0" fontId="74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justify"/>
    </xf>
    <xf numFmtId="0" fontId="13" fillId="0" borderId="0" xfId="0" applyFont="1" applyFill="1" applyAlignment="1">
      <alignment horizontal="center" wrapText="1"/>
    </xf>
    <xf numFmtId="0" fontId="10" fillId="0" borderId="13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vertical="justify"/>
    </xf>
    <xf numFmtId="0" fontId="13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49" fontId="7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10" xfId="0" applyFont="1" applyFill="1" applyBorder="1" applyAlignment="1" applyProtection="1">
      <alignment horizontal="center" vertical="center" wrapText="1"/>
      <protection locked="0"/>
    </xf>
    <xf numFmtId="0" fontId="72" fillId="0" borderId="10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Fill="1" applyBorder="1" applyAlignment="1" applyProtection="1">
      <alignment horizontal="center" vertical="center"/>
      <protection locked="0"/>
    </xf>
    <xf numFmtId="49" fontId="7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10" xfId="0" applyFont="1" applyFill="1" applyBorder="1" applyAlignment="1" applyProtection="1">
      <alignment wrapText="1"/>
      <protection locked="0"/>
    </xf>
    <xf numFmtId="49" fontId="7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5" fillId="0" borderId="10" xfId="0" applyNumberFormat="1" applyFont="1" applyFill="1" applyBorder="1" applyAlignment="1" applyProtection="1">
      <alignment horizontal="center" vertical="center"/>
      <protection locked="0"/>
    </xf>
    <xf numFmtId="0" fontId="71" fillId="0" borderId="10" xfId="0" applyFont="1" applyFill="1" applyBorder="1" applyAlignment="1">
      <alignment vertical="top" wrapText="1"/>
    </xf>
    <xf numFmtId="49" fontId="71" fillId="0" borderId="10" xfId="0" applyNumberFormat="1" applyFont="1" applyFill="1" applyBorder="1" applyAlignment="1" applyProtection="1">
      <alignment horizontal="center" wrapText="1"/>
      <protection locked="0"/>
    </xf>
    <xf numFmtId="49" fontId="69" fillId="0" borderId="10" xfId="0" applyNumberFormat="1" applyFont="1" applyFill="1" applyBorder="1" applyAlignment="1" applyProtection="1">
      <alignment horizontal="center" wrapText="1"/>
      <protection locked="0"/>
    </xf>
    <xf numFmtId="0" fontId="72" fillId="0" borderId="10" xfId="0" applyFont="1" applyFill="1" applyBorder="1" applyAlignment="1" applyProtection="1">
      <alignment horizontal="center" vertical="center"/>
      <protection locked="0"/>
    </xf>
    <xf numFmtId="0" fontId="70" fillId="0" borderId="15" xfId="0" applyNumberFormat="1" applyFont="1" applyFill="1" applyBorder="1" applyAlignment="1">
      <alignment horizontal="left" vertical="center" wrapText="1"/>
    </xf>
    <xf numFmtId="49" fontId="72" fillId="0" borderId="10" xfId="0" applyNumberFormat="1" applyFont="1" applyFill="1" applyBorder="1" applyAlignment="1" applyProtection="1">
      <alignment horizontal="center" wrapText="1"/>
      <protection locked="0"/>
    </xf>
    <xf numFmtId="4" fontId="70" fillId="0" borderId="15" xfId="0" applyNumberFormat="1" applyFont="1" applyFill="1" applyBorder="1" applyAlignment="1">
      <alignment horizontal="right" wrapText="1"/>
    </xf>
    <xf numFmtId="193" fontId="3" fillId="0" borderId="10" xfId="33" applyFont="1" applyFill="1" applyBorder="1" applyAlignment="1">
      <alignment horizontal="left" vertical="center" wrapText="1" shrinkToFit="1"/>
      <protection/>
    </xf>
    <xf numFmtId="49" fontId="73" fillId="0" borderId="10" xfId="0" applyNumberFormat="1" applyFont="1" applyFill="1" applyBorder="1" applyAlignment="1" applyProtection="1">
      <alignment horizontal="right" wrapText="1"/>
      <protection locked="0"/>
    </xf>
    <xf numFmtId="49" fontId="70" fillId="0" borderId="11" xfId="0" applyNumberFormat="1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>
      <alignment horizontal="right" wrapText="1"/>
    </xf>
    <xf numFmtId="0" fontId="73" fillId="0" borderId="11" xfId="0" applyFont="1" applyFill="1" applyBorder="1" applyAlignment="1" applyProtection="1">
      <alignment horizontal="right" wrapText="1"/>
      <protection locked="0"/>
    </xf>
    <xf numFmtId="4" fontId="70" fillId="0" borderId="16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71" fillId="0" borderId="15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c-1c\&#1086;&#1073;&#1097;&#1072;&#1103;\Users\art\AppData\Local\Microsoft\Windows\INetCache\IE\RCMANBDA\4%20&#1086;&#1082;&#1090;%20%202016%20.%20last%20&#1058;&#1072;&#1073;&#1083;&#1080;&#1094;&#1099;%20(&#1087;&#1083;&#1072;&#1085;&#1080;&#1088;&#1086;&#1074;&#1072;&#1085;&#1080;&#1077;%20&#1073;&#1102;&#1076;&#1078;&#1077;&#1090;&#1085;&#1099;&#1093;%20&#1072;&#1089;&#1089;&#1080;&#1075;&#1085;&#1086;&#1074;&#1072;&#1085;&#1080;&#1081;)_&#1082;%20&#1087;&#1088;&#1080;&#1082;&#1072;&#1079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 (13.09)"/>
      <sheetName val="норматив 2017"/>
      <sheetName val="норматив 2017 (нов девл)"/>
      <sheetName val="стройка"/>
      <sheetName val="ремонт рег"/>
      <sheetName val="ремонт МО"/>
      <sheetName val="свод  (1)"/>
      <sheetName val="фот"/>
      <sheetName val="з плата"/>
      <sheetName val="расчета налога на имущ"/>
      <sheetName val="налоги 2016"/>
      <sheetName val="налог на имущ"/>
      <sheetName val="расчет налога на землю"/>
      <sheetName val="расчет налога на имущество испр"/>
      <sheetName val="свод 2017 18 19"/>
    </sheetNames>
    <sheetDataSet>
      <sheetData sheetId="3">
        <row r="125">
          <cell r="B125" t="str">
            <v>Климовский  район</v>
          </cell>
        </row>
        <row r="126">
          <cell r="B126" t="str">
            <v>Строительство автомобильной дороги Подъезд к агрогородку "Гетманобудский"   от автомобильной дороги "Климово-Чуровичи" - Гетманова Буда на км 3+000  в Климовском районе Брянской области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0"/>
  <sheetViews>
    <sheetView tabSelected="1" view="pageBreakPreview" zoomScale="85" zoomScaleNormal="85" zoomScaleSheetLayoutView="85" zoomScalePageLayoutView="0" workbookViewId="0" topLeftCell="A1">
      <pane xSplit="1" ySplit="9" topLeftCell="B12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33203125" defaultRowHeight="12.75"/>
  <cols>
    <col min="1" max="1" width="77.83203125" style="135" customWidth="1"/>
    <col min="2" max="2" width="5.33203125" style="34" customWidth="1"/>
    <col min="3" max="4" width="5.66015625" style="34" customWidth="1"/>
    <col min="5" max="5" width="7.66015625" style="34" customWidth="1"/>
    <col min="6" max="7" width="5.5" style="34" customWidth="1"/>
    <col min="8" max="8" width="12.66015625" style="34" customWidth="1"/>
    <col min="9" max="9" width="7.66015625" style="34" customWidth="1"/>
    <col min="10" max="10" width="10.5" style="35" customWidth="1"/>
    <col min="11" max="11" width="10.66015625" style="35" customWidth="1"/>
    <col min="12" max="12" width="9.83203125" style="34" customWidth="1"/>
    <col min="13" max="15" width="21" style="1" customWidth="1"/>
    <col min="16" max="16" width="14.16015625" style="1" customWidth="1"/>
    <col min="17" max="17" width="34.66015625" style="1" customWidth="1"/>
    <col min="18" max="16384" width="9.33203125" style="1" customWidth="1"/>
  </cols>
  <sheetData>
    <row r="1" ht="15.75">
      <c r="O1" s="21" t="s">
        <v>388</v>
      </c>
    </row>
    <row r="2" spans="1:19" ht="19.5" customHeight="1">
      <c r="A2" s="122" t="s">
        <v>380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36"/>
      <c r="R2" s="136"/>
      <c r="S2" s="136"/>
    </row>
    <row r="3" spans="1:19" ht="19.5" customHeight="1">
      <c r="A3" s="123" t="s">
        <v>381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37"/>
      <c r="R3" s="137"/>
      <c r="S3" s="137"/>
    </row>
    <row r="4" spans="1:19" ht="19.5" customHeight="1">
      <c r="A4" s="123" t="s">
        <v>382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37"/>
      <c r="R4" s="137"/>
      <c r="S4" s="137"/>
    </row>
    <row r="5" spans="1:19" ht="19.5" customHeight="1">
      <c r="A5" s="123" t="s">
        <v>390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37"/>
      <c r="R5" s="137"/>
      <c r="S5" s="137"/>
    </row>
    <row r="6" spans="1:16" ht="16.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7" spans="1:16" ht="60">
      <c r="A7" s="36" t="s">
        <v>2</v>
      </c>
      <c r="B7" s="139" t="s">
        <v>3</v>
      </c>
      <c r="C7" s="139" t="s">
        <v>4</v>
      </c>
      <c r="D7" s="139" t="s">
        <v>98</v>
      </c>
      <c r="E7" s="139" t="s">
        <v>5</v>
      </c>
      <c r="F7" s="139" t="s">
        <v>6</v>
      </c>
      <c r="G7" s="139" t="s">
        <v>7</v>
      </c>
      <c r="H7" s="139" t="s">
        <v>8</v>
      </c>
      <c r="I7" s="139" t="s">
        <v>9</v>
      </c>
      <c r="J7" s="140" t="s">
        <v>50</v>
      </c>
      <c r="K7" s="140" t="s">
        <v>51</v>
      </c>
      <c r="L7" s="141" t="s">
        <v>52</v>
      </c>
      <c r="M7" s="18" t="s">
        <v>383</v>
      </c>
      <c r="N7" s="18" t="s">
        <v>384</v>
      </c>
      <c r="O7" s="18" t="s">
        <v>385</v>
      </c>
      <c r="P7" s="18" t="s">
        <v>386</v>
      </c>
    </row>
    <row r="8" spans="1:16" ht="17.25" customHeight="1">
      <c r="A8" s="36" t="s">
        <v>10</v>
      </c>
      <c r="B8" s="36" t="s">
        <v>11</v>
      </c>
      <c r="C8" s="36" t="s">
        <v>12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19">
        <v>13</v>
      </c>
      <c r="N8" s="19">
        <v>14</v>
      </c>
      <c r="O8" s="19">
        <v>15</v>
      </c>
      <c r="P8" s="19">
        <v>16</v>
      </c>
    </row>
    <row r="9" spans="1:17" ht="31.5" customHeight="1">
      <c r="A9" s="44" t="s">
        <v>114</v>
      </c>
      <c r="B9" s="67"/>
      <c r="C9" s="67"/>
      <c r="D9" s="67"/>
      <c r="E9" s="67"/>
      <c r="F9" s="67"/>
      <c r="G9" s="67"/>
      <c r="H9" s="67"/>
      <c r="I9" s="67"/>
      <c r="J9" s="62"/>
      <c r="K9" s="62"/>
      <c r="L9" s="62"/>
      <c r="M9" s="23">
        <f>M68+M103+M181+M207+M49+M15+M155+M76+M32+M59</f>
        <v>1659131659.58</v>
      </c>
      <c r="N9" s="23">
        <f>N68+N103+N181+N207+N49+N15+N155+N76+N32+N59</f>
        <v>764477548.06</v>
      </c>
      <c r="O9" s="23">
        <f>O68+O103+O181+O207+O49+O15+O155+O76+O32+O59</f>
        <v>761184257.2</v>
      </c>
      <c r="P9" s="15">
        <f aca="true" t="shared" si="0" ref="P9:P74">O9/M9*100</f>
        <v>45.87847219989097</v>
      </c>
      <c r="Q9" s="9">
        <f>M9-M14-M55-M83-M206</f>
        <v>1514429199.58</v>
      </c>
    </row>
    <row r="10" spans="1:16" ht="15" customHeight="1">
      <c r="A10" s="10" t="s">
        <v>49</v>
      </c>
      <c r="B10" s="67"/>
      <c r="C10" s="67"/>
      <c r="D10" s="67"/>
      <c r="E10" s="67"/>
      <c r="F10" s="67"/>
      <c r="G10" s="67"/>
      <c r="H10" s="67"/>
      <c r="I10" s="67"/>
      <c r="J10" s="62"/>
      <c r="K10" s="62"/>
      <c r="L10" s="62"/>
      <c r="M10" s="33"/>
      <c r="N10" s="33"/>
      <c r="O10" s="33"/>
      <c r="P10" s="15"/>
    </row>
    <row r="11" spans="1:16" ht="15" customHeight="1">
      <c r="A11" s="44" t="s">
        <v>345</v>
      </c>
      <c r="B11" s="67"/>
      <c r="C11" s="67"/>
      <c r="D11" s="67"/>
      <c r="E11" s="67"/>
      <c r="F11" s="67"/>
      <c r="G11" s="67"/>
      <c r="H11" s="67"/>
      <c r="I11" s="67"/>
      <c r="J11" s="62"/>
      <c r="K11" s="62"/>
      <c r="L11" s="62"/>
      <c r="M11" s="23">
        <f>M96+M101+M218+M198+M138</f>
        <v>703947539</v>
      </c>
      <c r="N11" s="23">
        <f>N96+N101+N218+N198+N138</f>
        <v>231447705.77999997</v>
      </c>
      <c r="O11" s="23">
        <f>O96+O101+O218+O198+O138</f>
        <v>226576036.73</v>
      </c>
      <c r="P11" s="15">
        <f t="shared" si="0"/>
        <v>32.18649461462213</v>
      </c>
    </row>
    <row r="12" spans="1:16" ht="15" customHeight="1">
      <c r="A12" s="44" t="s">
        <v>347</v>
      </c>
      <c r="B12" s="67"/>
      <c r="C12" s="67"/>
      <c r="D12" s="67"/>
      <c r="E12" s="67"/>
      <c r="F12" s="67"/>
      <c r="G12" s="67"/>
      <c r="H12" s="67"/>
      <c r="I12" s="67"/>
      <c r="J12" s="62"/>
      <c r="K12" s="62"/>
      <c r="L12" s="62"/>
      <c r="M12" s="23">
        <f>M179</f>
        <v>18038100</v>
      </c>
      <c r="N12" s="23">
        <f>N179</f>
        <v>0</v>
      </c>
      <c r="O12" s="23">
        <f>O179</f>
        <v>0</v>
      </c>
      <c r="P12" s="15">
        <f t="shared" si="0"/>
        <v>0</v>
      </c>
    </row>
    <row r="13" spans="1:16" ht="15" customHeight="1">
      <c r="A13" s="44" t="s">
        <v>346</v>
      </c>
      <c r="B13" s="67"/>
      <c r="C13" s="67"/>
      <c r="D13" s="67"/>
      <c r="E13" s="67"/>
      <c r="F13" s="67"/>
      <c r="G13" s="67"/>
      <c r="H13" s="67"/>
      <c r="I13" s="67"/>
      <c r="J13" s="62"/>
      <c r="K13" s="62"/>
      <c r="L13" s="62"/>
      <c r="M13" s="23">
        <f>M21+M32+M47+M66+M84+M97+M102+M180+M191+M199+M206+M219+M123+M106+M156</f>
        <v>937146020.58</v>
      </c>
      <c r="N13" s="23">
        <f>N21+N32+N47+N66+N84+N97+N102+N180+N191+N199+N206+N219+N123+N106+N156</f>
        <v>533029842.28</v>
      </c>
      <c r="O13" s="23">
        <f>O21+O32+O47+O66+O84+O97+O102+O180+O191+O199+O206+O219+O123+O106+O156</f>
        <v>534608220.46999997</v>
      </c>
      <c r="P13" s="15">
        <f t="shared" si="0"/>
        <v>57.04641632465458</v>
      </c>
    </row>
    <row r="14" spans="1:16" ht="47.25" customHeight="1">
      <c r="A14" s="45" t="s">
        <v>183</v>
      </c>
      <c r="B14" s="40">
        <v>12</v>
      </c>
      <c r="C14" s="40"/>
      <c r="D14" s="40"/>
      <c r="E14" s="11"/>
      <c r="F14" s="11"/>
      <c r="G14" s="11"/>
      <c r="H14" s="11"/>
      <c r="I14" s="11"/>
      <c r="J14" s="42"/>
      <c r="K14" s="47"/>
      <c r="L14" s="42"/>
      <c r="M14" s="25">
        <f>M15</f>
        <v>100000000</v>
      </c>
      <c r="N14" s="25">
        <f>N15</f>
        <v>1019540.6799999999</v>
      </c>
      <c r="O14" s="25">
        <f>O15</f>
        <v>1019540.6799999999</v>
      </c>
      <c r="P14" s="15">
        <f t="shared" si="0"/>
        <v>1.01954068</v>
      </c>
    </row>
    <row r="15" spans="1:16" ht="35.25" customHeight="1">
      <c r="A15" s="58" t="s">
        <v>186</v>
      </c>
      <c r="B15" s="142">
        <v>12</v>
      </c>
      <c r="C15" s="143">
        <v>0</v>
      </c>
      <c r="D15" s="142" t="s">
        <v>212</v>
      </c>
      <c r="E15" s="142">
        <v>812</v>
      </c>
      <c r="F15" s="142"/>
      <c r="G15" s="142"/>
      <c r="H15" s="142"/>
      <c r="I15" s="144"/>
      <c r="J15" s="145"/>
      <c r="K15" s="146"/>
      <c r="L15" s="147"/>
      <c r="M15" s="25">
        <f>M17</f>
        <v>100000000</v>
      </c>
      <c r="N15" s="25">
        <f>N17</f>
        <v>1019540.6799999999</v>
      </c>
      <c r="O15" s="25">
        <f>O17</f>
        <v>1019540.6799999999</v>
      </c>
      <c r="P15" s="15">
        <f t="shared" si="0"/>
        <v>1.01954068</v>
      </c>
    </row>
    <row r="16" spans="1:16" ht="21.75" customHeight="1">
      <c r="A16" s="58" t="s">
        <v>232</v>
      </c>
      <c r="B16" s="142">
        <v>12</v>
      </c>
      <c r="C16" s="143">
        <v>0</v>
      </c>
      <c r="D16" s="142" t="s">
        <v>212</v>
      </c>
      <c r="E16" s="142">
        <v>812</v>
      </c>
      <c r="F16" s="142"/>
      <c r="G16" s="142"/>
      <c r="H16" s="142"/>
      <c r="I16" s="144"/>
      <c r="J16" s="145"/>
      <c r="K16" s="146"/>
      <c r="L16" s="147"/>
      <c r="M16" s="25">
        <f aca="true" t="shared" si="1" ref="M16:O17">M17</f>
        <v>100000000</v>
      </c>
      <c r="N16" s="25">
        <f t="shared" si="1"/>
        <v>1019540.6799999999</v>
      </c>
      <c r="O16" s="25">
        <f t="shared" si="1"/>
        <v>1019540.6799999999</v>
      </c>
      <c r="P16" s="15">
        <f t="shared" si="0"/>
        <v>1.01954068</v>
      </c>
    </row>
    <row r="17" spans="1:16" ht="21" customHeight="1">
      <c r="A17" s="49" t="s">
        <v>213</v>
      </c>
      <c r="B17" s="142">
        <v>12</v>
      </c>
      <c r="C17" s="143">
        <v>0</v>
      </c>
      <c r="D17" s="142" t="s">
        <v>212</v>
      </c>
      <c r="E17" s="142">
        <v>812</v>
      </c>
      <c r="F17" s="142" t="s">
        <v>17</v>
      </c>
      <c r="G17" s="142" t="s">
        <v>15</v>
      </c>
      <c r="H17" s="142"/>
      <c r="I17" s="142"/>
      <c r="J17" s="148"/>
      <c r="K17" s="148"/>
      <c r="L17" s="148"/>
      <c r="M17" s="25">
        <f t="shared" si="1"/>
        <v>100000000</v>
      </c>
      <c r="N17" s="25">
        <f t="shared" si="1"/>
        <v>1019540.6799999999</v>
      </c>
      <c r="O17" s="25">
        <f t="shared" si="1"/>
        <v>1019540.6799999999</v>
      </c>
      <c r="P17" s="15">
        <f t="shared" si="0"/>
        <v>1.01954068</v>
      </c>
    </row>
    <row r="18" spans="1:16" ht="32.25" customHeight="1">
      <c r="A18" s="149" t="s">
        <v>27</v>
      </c>
      <c r="B18" s="142" t="s">
        <v>212</v>
      </c>
      <c r="C18" s="143">
        <v>0</v>
      </c>
      <c r="D18" s="142" t="s">
        <v>212</v>
      </c>
      <c r="E18" s="142" t="s">
        <v>214</v>
      </c>
      <c r="F18" s="142" t="s">
        <v>17</v>
      </c>
      <c r="G18" s="142" t="s">
        <v>15</v>
      </c>
      <c r="H18" s="142" t="s">
        <v>224</v>
      </c>
      <c r="I18" s="142"/>
      <c r="J18" s="150"/>
      <c r="K18" s="151"/>
      <c r="L18" s="152"/>
      <c r="M18" s="25">
        <f>M20</f>
        <v>100000000</v>
      </c>
      <c r="N18" s="25">
        <f>N20</f>
        <v>1019540.6799999999</v>
      </c>
      <c r="O18" s="25">
        <f>O20</f>
        <v>1019540.6799999999</v>
      </c>
      <c r="P18" s="15">
        <f t="shared" si="0"/>
        <v>1.01954068</v>
      </c>
    </row>
    <row r="19" spans="1:16" ht="117" customHeight="1">
      <c r="A19" s="58" t="s">
        <v>215</v>
      </c>
      <c r="B19" s="142">
        <v>12</v>
      </c>
      <c r="C19" s="143">
        <v>0</v>
      </c>
      <c r="D19" s="142" t="s">
        <v>212</v>
      </c>
      <c r="E19" s="142">
        <v>812</v>
      </c>
      <c r="F19" s="142" t="s">
        <v>17</v>
      </c>
      <c r="G19" s="142" t="s">
        <v>15</v>
      </c>
      <c r="H19" s="142" t="s">
        <v>224</v>
      </c>
      <c r="I19" s="142" t="s">
        <v>216</v>
      </c>
      <c r="J19" s="150"/>
      <c r="K19" s="151"/>
      <c r="L19" s="152"/>
      <c r="M19" s="25">
        <f aca="true" t="shared" si="2" ref="M19:O20">M20</f>
        <v>100000000</v>
      </c>
      <c r="N19" s="25">
        <f t="shared" si="2"/>
        <v>1019540.6799999999</v>
      </c>
      <c r="O19" s="25">
        <f t="shared" si="2"/>
        <v>1019540.6799999999</v>
      </c>
      <c r="P19" s="15">
        <f t="shared" si="0"/>
        <v>1.01954068</v>
      </c>
    </row>
    <row r="20" spans="1:16" ht="66.75" customHeight="1">
      <c r="A20" s="58" t="s">
        <v>217</v>
      </c>
      <c r="B20" s="142">
        <v>12</v>
      </c>
      <c r="C20" s="143">
        <v>0</v>
      </c>
      <c r="D20" s="142" t="s">
        <v>212</v>
      </c>
      <c r="E20" s="142">
        <v>812</v>
      </c>
      <c r="F20" s="142" t="s">
        <v>17</v>
      </c>
      <c r="G20" s="142" t="s">
        <v>15</v>
      </c>
      <c r="H20" s="142" t="s">
        <v>224</v>
      </c>
      <c r="I20" s="142" t="s">
        <v>218</v>
      </c>
      <c r="J20" s="150"/>
      <c r="K20" s="151"/>
      <c r="L20" s="152"/>
      <c r="M20" s="25">
        <f t="shared" si="2"/>
        <v>100000000</v>
      </c>
      <c r="N20" s="25">
        <f t="shared" si="2"/>
        <v>1019540.6799999999</v>
      </c>
      <c r="O20" s="25">
        <f t="shared" si="2"/>
        <v>1019540.6799999999</v>
      </c>
      <c r="P20" s="15">
        <f t="shared" si="0"/>
        <v>1.01954068</v>
      </c>
    </row>
    <row r="21" spans="1:16" ht="33.75" customHeight="1">
      <c r="A21" s="153" t="s">
        <v>219</v>
      </c>
      <c r="B21" s="154">
        <v>12</v>
      </c>
      <c r="C21" s="155">
        <v>0</v>
      </c>
      <c r="D21" s="154" t="s">
        <v>212</v>
      </c>
      <c r="E21" s="154">
        <v>812</v>
      </c>
      <c r="F21" s="154" t="s">
        <v>17</v>
      </c>
      <c r="G21" s="154" t="s">
        <v>15</v>
      </c>
      <c r="H21" s="154" t="s">
        <v>224</v>
      </c>
      <c r="I21" s="154" t="s">
        <v>218</v>
      </c>
      <c r="J21" s="145"/>
      <c r="K21" s="145"/>
      <c r="L21" s="156"/>
      <c r="M21" s="25">
        <f>M22+M23+M24+M25+M26+M27+M29+M31+M28+M30</f>
        <v>100000000</v>
      </c>
      <c r="N21" s="25">
        <f>N22+N23+N24+N25+N26+N27+N29+N31+N28+N30</f>
        <v>1019540.6799999999</v>
      </c>
      <c r="O21" s="25">
        <f>O22+O23+O24+O25+O26+O27+O29+O31+O28+O30</f>
        <v>1019540.6799999999</v>
      </c>
      <c r="P21" s="15">
        <f t="shared" si="0"/>
        <v>1.01954068</v>
      </c>
    </row>
    <row r="22" spans="1:17" ht="35.25" customHeight="1">
      <c r="A22" s="157" t="s">
        <v>221</v>
      </c>
      <c r="B22" s="51">
        <v>12</v>
      </c>
      <c r="C22" s="158">
        <v>0</v>
      </c>
      <c r="D22" s="51" t="s">
        <v>212</v>
      </c>
      <c r="E22" s="51">
        <v>812</v>
      </c>
      <c r="F22" s="51" t="s">
        <v>17</v>
      </c>
      <c r="G22" s="51" t="s">
        <v>15</v>
      </c>
      <c r="H22" s="51" t="s">
        <v>224</v>
      </c>
      <c r="I22" s="51" t="s">
        <v>218</v>
      </c>
      <c r="J22" s="62" t="s">
        <v>220</v>
      </c>
      <c r="K22" s="53" t="s">
        <v>222</v>
      </c>
      <c r="L22" s="53" t="s">
        <v>192</v>
      </c>
      <c r="M22" s="159">
        <v>40391359.57</v>
      </c>
      <c r="N22" s="159">
        <v>35295.73</v>
      </c>
      <c r="O22" s="159">
        <v>35295.73</v>
      </c>
      <c r="P22" s="29">
        <f t="shared" si="0"/>
        <v>0.08738435738671027</v>
      </c>
      <c r="Q22" s="17"/>
    </row>
    <row r="23" spans="1:17" ht="36" customHeight="1">
      <c r="A23" s="157" t="s">
        <v>251</v>
      </c>
      <c r="B23" s="51">
        <v>12</v>
      </c>
      <c r="C23" s="158">
        <v>0</v>
      </c>
      <c r="D23" s="51" t="s">
        <v>212</v>
      </c>
      <c r="E23" s="51">
        <v>812</v>
      </c>
      <c r="F23" s="51" t="s">
        <v>17</v>
      </c>
      <c r="G23" s="51" t="s">
        <v>15</v>
      </c>
      <c r="H23" s="51" t="s">
        <v>224</v>
      </c>
      <c r="I23" s="51" t="s">
        <v>218</v>
      </c>
      <c r="J23" s="62" t="s">
        <v>258</v>
      </c>
      <c r="K23" s="53">
        <v>0.5</v>
      </c>
      <c r="L23" s="53" t="s">
        <v>192</v>
      </c>
      <c r="M23" s="159">
        <v>2431554.02</v>
      </c>
      <c r="N23" s="159">
        <v>0</v>
      </c>
      <c r="O23" s="159">
        <v>0</v>
      </c>
      <c r="P23" s="29">
        <v>0</v>
      </c>
      <c r="Q23" s="17"/>
    </row>
    <row r="24" spans="1:17" ht="33.75" customHeight="1">
      <c r="A24" s="160" t="s">
        <v>252</v>
      </c>
      <c r="B24" s="51">
        <v>12</v>
      </c>
      <c r="C24" s="158">
        <v>0</v>
      </c>
      <c r="D24" s="51" t="s">
        <v>212</v>
      </c>
      <c r="E24" s="51">
        <v>812</v>
      </c>
      <c r="F24" s="51" t="s">
        <v>17</v>
      </c>
      <c r="G24" s="51" t="s">
        <v>15</v>
      </c>
      <c r="H24" s="51" t="s">
        <v>224</v>
      </c>
      <c r="I24" s="51" t="s">
        <v>218</v>
      </c>
      <c r="J24" s="62" t="s">
        <v>258</v>
      </c>
      <c r="K24" s="53">
        <v>0.45</v>
      </c>
      <c r="L24" s="53" t="s">
        <v>192</v>
      </c>
      <c r="M24" s="159">
        <v>2694710.54</v>
      </c>
      <c r="N24" s="159">
        <v>0</v>
      </c>
      <c r="O24" s="159">
        <v>0</v>
      </c>
      <c r="P24" s="29">
        <f t="shared" si="0"/>
        <v>0</v>
      </c>
      <c r="Q24" s="17"/>
    </row>
    <row r="25" spans="1:17" ht="34.5" customHeight="1">
      <c r="A25" s="160" t="s">
        <v>253</v>
      </c>
      <c r="B25" s="51">
        <v>12</v>
      </c>
      <c r="C25" s="158">
        <v>0</v>
      </c>
      <c r="D25" s="51" t="s">
        <v>212</v>
      </c>
      <c r="E25" s="51">
        <v>812</v>
      </c>
      <c r="F25" s="51" t="s">
        <v>17</v>
      </c>
      <c r="G25" s="51" t="s">
        <v>15</v>
      </c>
      <c r="H25" s="51" t="s">
        <v>224</v>
      </c>
      <c r="I25" s="51" t="s">
        <v>218</v>
      </c>
      <c r="J25" s="62" t="s">
        <v>258</v>
      </c>
      <c r="K25" s="161" t="s">
        <v>259</v>
      </c>
      <c r="L25" s="53" t="s">
        <v>192</v>
      </c>
      <c r="M25" s="159">
        <v>2593072.42</v>
      </c>
      <c r="N25" s="159">
        <v>0</v>
      </c>
      <c r="O25" s="159">
        <v>0</v>
      </c>
      <c r="P25" s="29">
        <f t="shared" si="0"/>
        <v>0</v>
      </c>
      <c r="Q25" s="17"/>
    </row>
    <row r="26" spans="1:17" ht="35.25" customHeight="1">
      <c r="A26" s="160" t="s">
        <v>256</v>
      </c>
      <c r="B26" s="51">
        <v>12</v>
      </c>
      <c r="C26" s="158">
        <v>0</v>
      </c>
      <c r="D26" s="51" t="s">
        <v>212</v>
      </c>
      <c r="E26" s="51">
        <v>812</v>
      </c>
      <c r="F26" s="51" t="s">
        <v>17</v>
      </c>
      <c r="G26" s="51" t="s">
        <v>15</v>
      </c>
      <c r="H26" s="51" t="s">
        <v>224</v>
      </c>
      <c r="I26" s="51" t="s">
        <v>218</v>
      </c>
      <c r="J26" s="62" t="s">
        <v>258</v>
      </c>
      <c r="K26" s="161" t="s">
        <v>260</v>
      </c>
      <c r="L26" s="53" t="s">
        <v>192</v>
      </c>
      <c r="M26" s="159">
        <v>2502999.48</v>
      </c>
      <c r="N26" s="159">
        <v>0</v>
      </c>
      <c r="O26" s="159">
        <v>0</v>
      </c>
      <c r="P26" s="29">
        <f t="shared" si="0"/>
        <v>0</v>
      </c>
      <c r="Q26" s="17"/>
    </row>
    <row r="27" spans="1:17" ht="34.5" customHeight="1">
      <c r="A27" s="160" t="s">
        <v>254</v>
      </c>
      <c r="B27" s="51">
        <v>12</v>
      </c>
      <c r="C27" s="158">
        <v>0</v>
      </c>
      <c r="D27" s="51" t="s">
        <v>212</v>
      </c>
      <c r="E27" s="51">
        <v>812</v>
      </c>
      <c r="F27" s="51" t="s">
        <v>17</v>
      </c>
      <c r="G27" s="51" t="s">
        <v>15</v>
      </c>
      <c r="H27" s="51" t="s">
        <v>224</v>
      </c>
      <c r="I27" s="51" t="s">
        <v>218</v>
      </c>
      <c r="J27" s="62" t="s">
        <v>258</v>
      </c>
      <c r="K27" s="161" t="s">
        <v>261</v>
      </c>
      <c r="L27" s="53" t="s">
        <v>192</v>
      </c>
      <c r="M27" s="159">
        <v>1591009.34</v>
      </c>
      <c r="N27" s="159">
        <v>0</v>
      </c>
      <c r="O27" s="159">
        <v>0</v>
      </c>
      <c r="P27" s="29">
        <f t="shared" si="0"/>
        <v>0</v>
      </c>
      <c r="Q27" s="17"/>
    </row>
    <row r="28" spans="1:17" ht="35.25" customHeight="1">
      <c r="A28" s="160" t="s">
        <v>391</v>
      </c>
      <c r="B28" s="51" t="s">
        <v>212</v>
      </c>
      <c r="C28" s="158" t="s">
        <v>208</v>
      </c>
      <c r="D28" s="51" t="s">
        <v>212</v>
      </c>
      <c r="E28" s="51" t="s">
        <v>214</v>
      </c>
      <c r="F28" s="51" t="s">
        <v>17</v>
      </c>
      <c r="G28" s="51" t="s">
        <v>15</v>
      </c>
      <c r="H28" s="51" t="s">
        <v>224</v>
      </c>
      <c r="I28" s="51" t="s">
        <v>218</v>
      </c>
      <c r="J28" s="62" t="s">
        <v>258</v>
      </c>
      <c r="K28" s="161" t="s">
        <v>392</v>
      </c>
      <c r="L28" s="53" t="s">
        <v>192</v>
      </c>
      <c r="M28" s="159">
        <v>1731012.8</v>
      </c>
      <c r="N28" s="159">
        <v>0</v>
      </c>
      <c r="O28" s="159">
        <v>0</v>
      </c>
      <c r="P28" s="29">
        <f t="shared" si="0"/>
        <v>0</v>
      </c>
      <c r="Q28" s="17"/>
    </row>
    <row r="29" spans="1:17" ht="48" customHeight="1">
      <c r="A29" s="160" t="s">
        <v>255</v>
      </c>
      <c r="B29" s="51">
        <v>12</v>
      </c>
      <c r="C29" s="158">
        <v>0</v>
      </c>
      <c r="D29" s="51" t="s">
        <v>212</v>
      </c>
      <c r="E29" s="51">
        <v>812</v>
      </c>
      <c r="F29" s="51" t="s">
        <v>17</v>
      </c>
      <c r="G29" s="51" t="s">
        <v>15</v>
      </c>
      <c r="H29" s="162" t="s">
        <v>224</v>
      </c>
      <c r="I29" s="162" t="s">
        <v>218</v>
      </c>
      <c r="J29" s="163" t="s">
        <v>258</v>
      </c>
      <c r="K29" s="164">
        <v>10.72</v>
      </c>
      <c r="L29" s="164" t="s">
        <v>192</v>
      </c>
      <c r="M29" s="165">
        <v>17516707.06</v>
      </c>
      <c r="N29" s="165">
        <v>0</v>
      </c>
      <c r="O29" s="165">
        <v>0</v>
      </c>
      <c r="P29" s="29">
        <f t="shared" si="0"/>
        <v>0</v>
      </c>
      <c r="Q29" s="17"/>
    </row>
    <row r="30" spans="1:17" ht="35.25" customHeight="1">
      <c r="A30" s="157" t="s">
        <v>257</v>
      </c>
      <c r="B30" s="51">
        <v>12</v>
      </c>
      <c r="C30" s="158">
        <v>0</v>
      </c>
      <c r="D30" s="51" t="s">
        <v>212</v>
      </c>
      <c r="E30" s="51">
        <v>812</v>
      </c>
      <c r="F30" s="51" t="s">
        <v>17</v>
      </c>
      <c r="G30" s="51" t="s">
        <v>15</v>
      </c>
      <c r="H30" s="51" t="s">
        <v>224</v>
      </c>
      <c r="I30" s="51" t="s">
        <v>218</v>
      </c>
      <c r="J30" s="62" t="s">
        <v>220</v>
      </c>
      <c r="K30" s="53" t="s">
        <v>223</v>
      </c>
      <c r="L30" s="53" t="s">
        <v>192</v>
      </c>
      <c r="M30" s="24">
        <v>27500165.38</v>
      </c>
      <c r="N30" s="24">
        <v>984244.95</v>
      </c>
      <c r="O30" s="24">
        <v>984244.95</v>
      </c>
      <c r="P30" s="29">
        <f>O30/M30*100</f>
        <v>3.5790510216924374</v>
      </c>
      <c r="Q30" s="17"/>
    </row>
    <row r="31" spans="1:17" ht="56.25" customHeight="1">
      <c r="A31" s="157" t="s">
        <v>393</v>
      </c>
      <c r="B31" s="51">
        <v>12</v>
      </c>
      <c r="C31" s="158">
        <v>0</v>
      </c>
      <c r="D31" s="51" t="s">
        <v>212</v>
      </c>
      <c r="E31" s="51">
        <v>812</v>
      </c>
      <c r="F31" s="51" t="s">
        <v>17</v>
      </c>
      <c r="G31" s="51" t="s">
        <v>15</v>
      </c>
      <c r="H31" s="51" t="s">
        <v>224</v>
      </c>
      <c r="I31" s="51" t="s">
        <v>218</v>
      </c>
      <c r="J31" s="62"/>
      <c r="K31" s="53"/>
      <c r="L31" s="53"/>
      <c r="M31" s="24">
        <v>1047409.39</v>
      </c>
      <c r="N31" s="24"/>
      <c r="O31" s="24"/>
      <c r="P31" s="29">
        <f t="shared" si="0"/>
        <v>0</v>
      </c>
      <c r="Q31" s="17"/>
    </row>
    <row r="32" spans="1:16" ht="35.25" customHeight="1">
      <c r="A32" s="14" t="s">
        <v>238</v>
      </c>
      <c r="B32" s="63" t="s">
        <v>239</v>
      </c>
      <c r="C32" s="63">
        <v>0</v>
      </c>
      <c r="D32" s="63"/>
      <c r="E32" s="67"/>
      <c r="F32" s="67"/>
      <c r="G32" s="67"/>
      <c r="H32" s="67"/>
      <c r="I32" s="67"/>
      <c r="J32" s="62"/>
      <c r="K32" s="62"/>
      <c r="L32" s="62"/>
      <c r="M32" s="25">
        <f aca="true" t="shared" si="3" ref="M32:O39">M33</f>
        <v>346005959.9</v>
      </c>
      <c r="N32" s="25">
        <f t="shared" si="3"/>
        <v>337104723.37</v>
      </c>
      <c r="O32" s="25">
        <f t="shared" si="3"/>
        <v>339131999.92</v>
      </c>
      <c r="P32" s="15">
        <f t="shared" si="0"/>
        <v>98.01334058465739</v>
      </c>
    </row>
    <row r="33" spans="1:16" ht="23.25" customHeight="1">
      <c r="A33" s="14" t="s">
        <v>240</v>
      </c>
      <c r="B33" s="63">
        <v>14</v>
      </c>
      <c r="C33" s="63">
        <v>0</v>
      </c>
      <c r="D33" s="63">
        <v>18</v>
      </c>
      <c r="E33" s="67"/>
      <c r="F33" s="67"/>
      <c r="G33" s="67"/>
      <c r="H33" s="67"/>
      <c r="I33" s="67"/>
      <c r="J33" s="62"/>
      <c r="K33" s="62"/>
      <c r="L33" s="62"/>
      <c r="M33" s="25">
        <f t="shared" si="3"/>
        <v>346005959.9</v>
      </c>
      <c r="N33" s="25">
        <f t="shared" si="3"/>
        <v>337104723.37</v>
      </c>
      <c r="O33" s="25">
        <f t="shared" si="3"/>
        <v>339131999.92</v>
      </c>
      <c r="P33" s="15">
        <f t="shared" si="0"/>
        <v>98.01334058465739</v>
      </c>
    </row>
    <row r="34" spans="1:16" ht="25.5" customHeight="1">
      <c r="A34" s="14" t="s">
        <v>283</v>
      </c>
      <c r="B34" s="63">
        <v>14</v>
      </c>
      <c r="C34" s="63">
        <v>0</v>
      </c>
      <c r="D34" s="63">
        <v>18</v>
      </c>
      <c r="E34" s="63">
        <v>814</v>
      </c>
      <c r="F34" s="67"/>
      <c r="G34" s="67"/>
      <c r="H34" s="67"/>
      <c r="I34" s="67"/>
      <c r="J34" s="62"/>
      <c r="K34" s="62"/>
      <c r="L34" s="62"/>
      <c r="M34" s="25">
        <f t="shared" si="3"/>
        <v>346005959.9</v>
      </c>
      <c r="N34" s="25">
        <f t="shared" si="3"/>
        <v>337104723.37</v>
      </c>
      <c r="O34" s="25">
        <f t="shared" si="3"/>
        <v>339131999.92</v>
      </c>
      <c r="P34" s="15">
        <f t="shared" si="0"/>
        <v>98.01334058465739</v>
      </c>
    </row>
    <row r="35" spans="1:16" ht="21" customHeight="1">
      <c r="A35" s="14" t="s">
        <v>241</v>
      </c>
      <c r="B35" s="63">
        <v>14</v>
      </c>
      <c r="C35" s="63">
        <v>0</v>
      </c>
      <c r="D35" s="63">
        <v>18</v>
      </c>
      <c r="E35" s="63">
        <v>814</v>
      </c>
      <c r="F35" s="166" t="s">
        <v>22</v>
      </c>
      <c r="G35" s="67"/>
      <c r="H35" s="67"/>
      <c r="I35" s="67"/>
      <c r="J35" s="62"/>
      <c r="K35" s="62"/>
      <c r="L35" s="62"/>
      <c r="M35" s="25">
        <f>M36+M41</f>
        <v>346005959.9</v>
      </c>
      <c r="N35" s="25">
        <f>N36+N41</f>
        <v>337104723.37</v>
      </c>
      <c r="O35" s="25">
        <f>O36+O41</f>
        <v>339131999.92</v>
      </c>
      <c r="P35" s="15">
        <f t="shared" si="0"/>
        <v>98.01334058465739</v>
      </c>
    </row>
    <row r="36" spans="1:16" ht="24.75" customHeight="1">
      <c r="A36" s="14" t="s">
        <v>242</v>
      </c>
      <c r="B36" s="63">
        <v>14</v>
      </c>
      <c r="C36" s="63">
        <v>0</v>
      </c>
      <c r="D36" s="63">
        <v>18</v>
      </c>
      <c r="E36" s="63">
        <v>814</v>
      </c>
      <c r="F36" s="166" t="s">
        <v>22</v>
      </c>
      <c r="G36" s="166" t="s">
        <v>14</v>
      </c>
      <c r="H36" s="67"/>
      <c r="I36" s="67"/>
      <c r="J36" s="62"/>
      <c r="K36" s="62"/>
      <c r="L36" s="62"/>
      <c r="M36" s="25">
        <f t="shared" si="3"/>
        <v>344005959.9</v>
      </c>
      <c r="N36" s="25">
        <f t="shared" si="3"/>
        <v>337104723.37</v>
      </c>
      <c r="O36" s="25">
        <f t="shared" si="3"/>
        <v>337131999.92</v>
      </c>
      <c r="P36" s="15">
        <f t="shared" si="0"/>
        <v>98.00179043932896</v>
      </c>
    </row>
    <row r="37" spans="1:16" ht="66" customHeight="1">
      <c r="A37" s="14" t="s">
        <v>287</v>
      </c>
      <c r="B37" s="63" t="s">
        <v>239</v>
      </c>
      <c r="C37" s="63">
        <v>0</v>
      </c>
      <c r="D37" s="63">
        <v>18</v>
      </c>
      <c r="E37" s="63">
        <v>814</v>
      </c>
      <c r="F37" s="63" t="s">
        <v>22</v>
      </c>
      <c r="G37" s="63" t="s">
        <v>14</v>
      </c>
      <c r="H37" s="63">
        <v>13890</v>
      </c>
      <c r="I37" s="67"/>
      <c r="J37" s="62"/>
      <c r="K37" s="62"/>
      <c r="L37" s="62"/>
      <c r="M37" s="25">
        <f t="shared" si="3"/>
        <v>344005959.9</v>
      </c>
      <c r="N37" s="25">
        <f t="shared" si="3"/>
        <v>337104723.37</v>
      </c>
      <c r="O37" s="25">
        <f t="shared" si="3"/>
        <v>337131999.92</v>
      </c>
      <c r="P37" s="15">
        <f t="shared" si="0"/>
        <v>98.00179043932896</v>
      </c>
    </row>
    <row r="38" spans="1:16" ht="50.25" customHeight="1">
      <c r="A38" s="44" t="s">
        <v>284</v>
      </c>
      <c r="B38" s="63" t="s">
        <v>239</v>
      </c>
      <c r="C38" s="63">
        <v>0</v>
      </c>
      <c r="D38" s="63">
        <v>18</v>
      </c>
      <c r="E38" s="63">
        <v>814</v>
      </c>
      <c r="F38" s="63" t="s">
        <v>22</v>
      </c>
      <c r="G38" s="63" t="s">
        <v>14</v>
      </c>
      <c r="H38" s="63">
        <v>13890</v>
      </c>
      <c r="I38" s="154" t="s">
        <v>288</v>
      </c>
      <c r="J38" s="163"/>
      <c r="K38" s="53"/>
      <c r="L38" s="53"/>
      <c r="M38" s="25">
        <f t="shared" si="3"/>
        <v>344005959.9</v>
      </c>
      <c r="N38" s="25">
        <f t="shared" si="3"/>
        <v>337104723.37</v>
      </c>
      <c r="O38" s="25">
        <f t="shared" si="3"/>
        <v>337131999.92</v>
      </c>
      <c r="P38" s="15">
        <f t="shared" si="0"/>
        <v>98.00179043932896</v>
      </c>
    </row>
    <row r="39" spans="1:16" ht="48" customHeight="1">
      <c r="A39" s="14" t="s">
        <v>285</v>
      </c>
      <c r="B39" s="63" t="s">
        <v>239</v>
      </c>
      <c r="C39" s="63">
        <v>0</v>
      </c>
      <c r="D39" s="63">
        <v>18</v>
      </c>
      <c r="E39" s="63">
        <v>814</v>
      </c>
      <c r="F39" s="63" t="s">
        <v>22</v>
      </c>
      <c r="G39" s="63" t="s">
        <v>14</v>
      </c>
      <c r="H39" s="63">
        <v>13890</v>
      </c>
      <c r="I39" s="154" t="s">
        <v>288</v>
      </c>
      <c r="J39" s="163"/>
      <c r="K39" s="53"/>
      <c r="L39" s="53"/>
      <c r="M39" s="25">
        <f t="shared" si="3"/>
        <v>344005959.9</v>
      </c>
      <c r="N39" s="25">
        <f t="shared" si="3"/>
        <v>337104723.37</v>
      </c>
      <c r="O39" s="25">
        <f t="shared" si="3"/>
        <v>337131999.92</v>
      </c>
      <c r="P39" s="15">
        <f t="shared" si="0"/>
        <v>98.00179043932896</v>
      </c>
    </row>
    <row r="40" spans="1:16" ht="33.75" customHeight="1">
      <c r="A40" s="10" t="s">
        <v>289</v>
      </c>
      <c r="B40" s="67" t="s">
        <v>239</v>
      </c>
      <c r="C40" s="67">
        <v>0</v>
      </c>
      <c r="D40" s="67">
        <v>18</v>
      </c>
      <c r="E40" s="67">
        <v>814</v>
      </c>
      <c r="F40" s="67" t="s">
        <v>22</v>
      </c>
      <c r="G40" s="67" t="s">
        <v>14</v>
      </c>
      <c r="H40" s="67">
        <v>13890</v>
      </c>
      <c r="I40" s="51" t="s">
        <v>288</v>
      </c>
      <c r="J40" s="163" t="s">
        <v>286</v>
      </c>
      <c r="K40" s="53">
        <v>130</v>
      </c>
      <c r="L40" s="53">
        <v>2017</v>
      </c>
      <c r="M40" s="24">
        <v>344005959.9</v>
      </c>
      <c r="N40" s="24">
        <v>337104723.37</v>
      </c>
      <c r="O40" s="24">
        <v>337131999.92</v>
      </c>
      <c r="P40" s="15">
        <f t="shared" si="0"/>
        <v>98.00179043932896</v>
      </c>
    </row>
    <row r="41" spans="1:16" ht="19.5" customHeight="1">
      <c r="A41" s="167" t="s">
        <v>330</v>
      </c>
      <c r="B41" s="40">
        <v>14</v>
      </c>
      <c r="C41" s="40">
        <v>0</v>
      </c>
      <c r="D41" s="40">
        <v>18</v>
      </c>
      <c r="E41" s="40">
        <v>814</v>
      </c>
      <c r="F41" s="168" t="s">
        <v>22</v>
      </c>
      <c r="G41" s="46" t="s">
        <v>15</v>
      </c>
      <c r="H41" s="11"/>
      <c r="I41" s="11"/>
      <c r="J41" s="12"/>
      <c r="K41" s="12"/>
      <c r="L41" s="12"/>
      <c r="M41" s="25">
        <f aca="true" t="shared" si="4" ref="M41:O43">M42</f>
        <v>2000000</v>
      </c>
      <c r="N41" s="25">
        <f t="shared" si="4"/>
        <v>0</v>
      </c>
      <c r="O41" s="25">
        <f t="shared" si="4"/>
        <v>2000000</v>
      </c>
      <c r="P41" s="15">
        <f t="shared" si="0"/>
        <v>100</v>
      </c>
    </row>
    <row r="42" spans="1:16" ht="34.5" customHeight="1">
      <c r="A42" s="169" t="s">
        <v>27</v>
      </c>
      <c r="B42" s="40" t="s">
        <v>239</v>
      </c>
      <c r="C42" s="40">
        <v>0</v>
      </c>
      <c r="D42" s="40">
        <v>18</v>
      </c>
      <c r="E42" s="40">
        <v>814</v>
      </c>
      <c r="F42" s="168" t="s">
        <v>22</v>
      </c>
      <c r="G42" s="46" t="s">
        <v>15</v>
      </c>
      <c r="H42" s="168">
        <v>11260</v>
      </c>
      <c r="I42" s="11"/>
      <c r="J42" s="12"/>
      <c r="K42" s="12"/>
      <c r="L42" s="12"/>
      <c r="M42" s="25">
        <f t="shared" si="4"/>
        <v>2000000</v>
      </c>
      <c r="N42" s="25">
        <f t="shared" si="4"/>
        <v>0</v>
      </c>
      <c r="O42" s="25">
        <f t="shared" si="4"/>
        <v>2000000</v>
      </c>
      <c r="P42" s="15">
        <f t="shared" si="0"/>
        <v>100</v>
      </c>
    </row>
    <row r="43" spans="1:16" ht="49.5" customHeight="1">
      <c r="A43" s="153" t="s">
        <v>197</v>
      </c>
      <c r="B43" s="40" t="s">
        <v>239</v>
      </c>
      <c r="C43" s="40">
        <v>0</v>
      </c>
      <c r="D43" s="40">
        <v>18</v>
      </c>
      <c r="E43" s="40">
        <v>814</v>
      </c>
      <c r="F43" s="168" t="s">
        <v>22</v>
      </c>
      <c r="G43" s="46" t="s">
        <v>15</v>
      </c>
      <c r="H43" s="168">
        <v>11260</v>
      </c>
      <c r="I43" s="40">
        <v>464</v>
      </c>
      <c r="J43" s="12"/>
      <c r="K43" s="12"/>
      <c r="L43" s="12"/>
      <c r="M43" s="25">
        <f t="shared" si="4"/>
        <v>2000000</v>
      </c>
      <c r="N43" s="25">
        <f t="shared" si="4"/>
        <v>0</v>
      </c>
      <c r="O43" s="25">
        <f t="shared" si="4"/>
        <v>2000000</v>
      </c>
      <c r="P43" s="15">
        <f t="shared" si="0"/>
        <v>100</v>
      </c>
    </row>
    <row r="44" spans="1:16" ht="47.25" customHeight="1">
      <c r="A44" s="170" t="s">
        <v>333</v>
      </c>
      <c r="B44" s="40">
        <v>14</v>
      </c>
      <c r="C44" s="40">
        <v>0</v>
      </c>
      <c r="D44" s="40">
        <v>18</v>
      </c>
      <c r="E44" s="40">
        <v>814</v>
      </c>
      <c r="F44" s="168" t="s">
        <v>22</v>
      </c>
      <c r="G44" s="46" t="s">
        <v>15</v>
      </c>
      <c r="H44" s="168">
        <v>11260</v>
      </c>
      <c r="I44" s="40">
        <v>464</v>
      </c>
      <c r="J44" s="12"/>
      <c r="K44" s="12"/>
      <c r="L44" s="12"/>
      <c r="M44" s="25">
        <f>M45+M46</f>
        <v>2000000</v>
      </c>
      <c r="N44" s="25">
        <f>N45+N46</f>
        <v>0</v>
      </c>
      <c r="O44" s="25">
        <f>O45+O46</f>
        <v>2000000</v>
      </c>
      <c r="P44" s="15">
        <f t="shared" si="0"/>
        <v>100</v>
      </c>
    </row>
    <row r="45" spans="1:16" ht="33" customHeight="1">
      <c r="A45" s="61" t="s">
        <v>331</v>
      </c>
      <c r="B45" s="11" t="s">
        <v>239</v>
      </c>
      <c r="C45" s="11">
        <v>0</v>
      </c>
      <c r="D45" s="11">
        <v>18</v>
      </c>
      <c r="E45" s="11">
        <v>814</v>
      </c>
      <c r="F45" s="171" t="s">
        <v>22</v>
      </c>
      <c r="G45" s="74" t="s">
        <v>15</v>
      </c>
      <c r="H45" s="171">
        <v>11260</v>
      </c>
      <c r="I45" s="11">
        <v>464</v>
      </c>
      <c r="J45" s="12" t="s">
        <v>110</v>
      </c>
      <c r="K45" s="12">
        <v>10</v>
      </c>
      <c r="L45" s="12"/>
      <c r="M45" s="24">
        <v>1000000</v>
      </c>
      <c r="N45" s="165">
        <v>0</v>
      </c>
      <c r="O45" s="24">
        <v>1000000</v>
      </c>
      <c r="P45" s="29">
        <f t="shared" si="0"/>
        <v>100</v>
      </c>
    </row>
    <row r="46" spans="1:16" ht="33.75" customHeight="1">
      <c r="A46" s="61" t="s">
        <v>332</v>
      </c>
      <c r="B46" s="11" t="s">
        <v>239</v>
      </c>
      <c r="C46" s="11">
        <v>0</v>
      </c>
      <c r="D46" s="11">
        <v>18</v>
      </c>
      <c r="E46" s="11">
        <v>814</v>
      </c>
      <c r="F46" s="171" t="s">
        <v>22</v>
      </c>
      <c r="G46" s="74" t="s">
        <v>15</v>
      </c>
      <c r="H46" s="171">
        <v>11260</v>
      </c>
      <c r="I46" s="11">
        <v>464</v>
      </c>
      <c r="J46" s="12" t="s">
        <v>110</v>
      </c>
      <c r="K46" s="12">
        <v>15</v>
      </c>
      <c r="L46" s="12"/>
      <c r="M46" s="24">
        <v>1000000</v>
      </c>
      <c r="N46" s="165">
        <v>0</v>
      </c>
      <c r="O46" s="24">
        <v>1000000</v>
      </c>
      <c r="P46" s="29">
        <f t="shared" si="0"/>
        <v>100</v>
      </c>
    </row>
    <row r="47" spans="1:16" ht="33.75" customHeight="1">
      <c r="A47" s="45" t="s">
        <v>290</v>
      </c>
      <c r="B47" s="40">
        <v>15</v>
      </c>
      <c r="C47" s="40">
        <v>0</v>
      </c>
      <c r="D47" s="40"/>
      <c r="E47" s="11"/>
      <c r="F47" s="11"/>
      <c r="G47" s="11"/>
      <c r="H47" s="11"/>
      <c r="I47" s="11"/>
      <c r="J47" s="62"/>
      <c r="K47" s="12"/>
      <c r="L47" s="57"/>
      <c r="M47" s="28">
        <f>M48</f>
        <v>40352460</v>
      </c>
      <c r="N47" s="28">
        <f>N48</f>
        <v>5945966</v>
      </c>
      <c r="O47" s="28">
        <f>O48</f>
        <v>5945966</v>
      </c>
      <c r="P47" s="15">
        <f t="shared" si="0"/>
        <v>14.735076870158597</v>
      </c>
    </row>
    <row r="48" spans="1:16" ht="24.75" customHeight="1">
      <c r="A48" s="14" t="s">
        <v>100</v>
      </c>
      <c r="B48" s="63">
        <v>15</v>
      </c>
      <c r="C48" s="63">
        <v>0</v>
      </c>
      <c r="D48" s="63">
        <v>12</v>
      </c>
      <c r="E48" s="11"/>
      <c r="F48" s="11"/>
      <c r="G48" s="11"/>
      <c r="H48" s="11"/>
      <c r="I48" s="11"/>
      <c r="J48" s="62"/>
      <c r="K48" s="12"/>
      <c r="L48" s="57"/>
      <c r="M48" s="28">
        <f>M49+M59</f>
        <v>40352460</v>
      </c>
      <c r="N48" s="28">
        <f>N49+N59</f>
        <v>5945966</v>
      </c>
      <c r="O48" s="28">
        <f>O49+O59</f>
        <v>5945966</v>
      </c>
      <c r="P48" s="15">
        <f t="shared" si="0"/>
        <v>14.735076870158597</v>
      </c>
    </row>
    <row r="49" spans="1:16" ht="22.5" customHeight="1">
      <c r="A49" s="14" t="s">
        <v>194</v>
      </c>
      <c r="B49" s="63" t="s">
        <v>30</v>
      </c>
      <c r="C49" s="63">
        <v>0</v>
      </c>
      <c r="D49" s="63">
        <v>12</v>
      </c>
      <c r="E49" s="63">
        <v>815</v>
      </c>
      <c r="F49" s="67"/>
      <c r="G49" s="67"/>
      <c r="H49" s="67"/>
      <c r="I49" s="67"/>
      <c r="J49" s="62"/>
      <c r="K49" s="62"/>
      <c r="L49" s="62"/>
      <c r="M49" s="15">
        <f>M51</f>
        <v>37852460</v>
      </c>
      <c r="N49" s="15">
        <f>N51</f>
        <v>5945966</v>
      </c>
      <c r="O49" s="15">
        <f>O51</f>
        <v>5945966</v>
      </c>
      <c r="P49" s="15">
        <f t="shared" si="0"/>
        <v>15.708268366177522</v>
      </c>
    </row>
    <row r="50" spans="1:16" ht="33.75" customHeight="1">
      <c r="A50" s="14" t="s">
        <v>195</v>
      </c>
      <c r="B50" s="63" t="s">
        <v>30</v>
      </c>
      <c r="C50" s="63">
        <v>0</v>
      </c>
      <c r="D50" s="63">
        <v>12</v>
      </c>
      <c r="E50" s="63">
        <v>815</v>
      </c>
      <c r="F50" s="67"/>
      <c r="G50" s="67"/>
      <c r="H50" s="67"/>
      <c r="I50" s="67"/>
      <c r="J50" s="62"/>
      <c r="K50" s="62"/>
      <c r="L50" s="62"/>
      <c r="M50" s="15">
        <f aca="true" t="shared" si="5" ref="M50:O52">M51</f>
        <v>37852460</v>
      </c>
      <c r="N50" s="15">
        <f t="shared" si="5"/>
        <v>5945966</v>
      </c>
      <c r="O50" s="15">
        <f t="shared" si="5"/>
        <v>5945966</v>
      </c>
      <c r="P50" s="15">
        <f t="shared" si="0"/>
        <v>15.708268366177522</v>
      </c>
    </row>
    <row r="51" spans="1:16" ht="24.75" customHeight="1">
      <c r="A51" s="14" t="s">
        <v>31</v>
      </c>
      <c r="B51" s="63" t="s">
        <v>30</v>
      </c>
      <c r="C51" s="63">
        <v>0</v>
      </c>
      <c r="D51" s="63">
        <v>12</v>
      </c>
      <c r="E51" s="63">
        <v>815</v>
      </c>
      <c r="F51" s="63" t="s">
        <v>19</v>
      </c>
      <c r="G51" s="63" t="s">
        <v>0</v>
      </c>
      <c r="H51" s="67"/>
      <c r="I51" s="67"/>
      <c r="J51" s="62"/>
      <c r="K51" s="62"/>
      <c r="L51" s="62"/>
      <c r="M51" s="15">
        <f t="shared" si="5"/>
        <v>37852460</v>
      </c>
      <c r="N51" s="15">
        <f t="shared" si="5"/>
        <v>5945966</v>
      </c>
      <c r="O51" s="15">
        <f t="shared" si="5"/>
        <v>5945966</v>
      </c>
      <c r="P51" s="15">
        <f t="shared" si="0"/>
        <v>15.708268366177522</v>
      </c>
    </row>
    <row r="52" spans="1:16" ht="15.75">
      <c r="A52" s="14" t="s">
        <v>32</v>
      </c>
      <c r="B52" s="63" t="s">
        <v>30</v>
      </c>
      <c r="C52" s="63">
        <v>0</v>
      </c>
      <c r="D52" s="63">
        <v>12</v>
      </c>
      <c r="E52" s="63">
        <v>815</v>
      </c>
      <c r="F52" s="63" t="s">
        <v>19</v>
      </c>
      <c r="G52" s="63" t="s">
        <v>14</v>
      </c>
      <c r="H52" s="67"/>
      <c r="I52" s="67"/>
      <c r="J52" s="62"/>
      <c r="K52" s="62"/>
      <c r="L52" s="62"/>
      <c r="M52" s="15">
        <f t="shared" si="5"/>
        <v>37852460</v>
      </c>
      <c r="N52" s="15">
        <f t="shared" si="5"/>
        <v>5945966</v>
      </c>
      <c r="O52" s="15">
        <f t="shared" si="5"/>
        <v>5945966</v>
      </c>
      <c r="P52" s="15">
        <f t="shared" si="0"/>
        <v>15.708268366177522</v>
      </c>
    </row>
    <row r="53" spans="1:16" ht="31.5" customHeight="1">
      <c r="A53" s="14" t="s">
        <v>27</v>
      </c>
      <c r="B53" s="63" t="s">
        <v>30</v>
      </c>
      <c r="C53" s="63">
        <v>0</v>
      </c>
      <c r="D53" s="63">
        <v>12</v>
      </c>
      <c r="E53" s="63">
        <v>815</v>
      </c>
      <c r="F53" s="63" t="s">
        <v>19</v>
      </c>
      <c r="G53" s="63" t="s">
        <v>14</v>
      </c>
      <c r="H53" s="63">
        <v>11260</v>
      </c>
      <c r="I53" s="67"/>
      <c r="J53" s="62"/>
      <c r="K53" s="62"/>
      <c r="L53" s="62"/>
      <c r="M53" s="15">
        <f aca="true" t="shared" si="6" ref="M53:O54">M55</f>
        <v>37852460</v>
      </c>
      <c r="N53" s="15">
        <f t="shared" si="6"/>
        <v>5945966</v>
      </c>
      <c r="O53" s="15">
        <f t="shared" si="6"/>
        <v>5945966</v>
      </c>
      <c r="P53" s="15">
        <f t="shared" si="0"/>
        <v>15.708268366177522</v>
      </c>
    </row>
    <row r="54" spans="1:16" ht="47.25">
      <c r="A54" s="14" t="s">
        <v>196</v>
      </c>
      <c r="B54" s="63" t="s">
        <v>30</v>
      </c>
      <c r="C54" s="63">
        <v>0</v>
      </c>
      <c r="D54" s="63">
        <v>12</v>
      </c>
      <c r="E54" s="63">
        <v>815</v>
      </c>
      <c r="F54" s="63" t="s">
        <v>19</v>
      </c>
      <c r="G54" s="63" t="s">
        <v>14</v>
      </c>
      <c r="H54" s="63">
        <v>11260</v>
      </c>
      <c r="I54" s="67"/>
      <c r="J54" s="62"/>
      <c r="K54" s="62"/>
      <c r="L54" s="62"/>
      <c r="M54" s="15">
        <f t="shared" si="6"/>
        <v>37852460</v>
      </c>
      <c r="N54" s="15">
        <f t="shared" si="6"/>
        <v>5945966</v>
      </c>
      <c r="O54" s="15">
        <f t="shared" si="6"/>
        <v>5945966</v>
      </c>
      <c r="P54" s="15">
        <f t="shared" si="0"/>
        <v>15.708268366177522</v>
      </c>
    </row>
    <row r="55" spans="1:16" ht="53.25" customHeight="1">
      <c r="A55" s="14" t="s">
        <v>197</v>
      </c>
      <c r="B55" s="63" t="s">
        <v>30</v>
      </c>
      <c r="C55" s="63">
        <v>0</v>
      </c>
      <c r="D55" s="63">
        <v>12</v>
      </c>
      <c r="E55" s="63">
        <v>815</v>
      </c>
      <c r="F55" s="63" t="s">
        <v>19</v>
      </c>
      <c r="G55" s="63" t="s">
        <v>14</v>
      </c>
      <c r="H55" s="63">
        <v>11260</v>
      </c>
      <c r="I55" s="63">
        <v>464</v>
      </c>
      <c r="J55" s="62"/>
      <c r="K55" s="62"/>
      <c r="L55" s="62"/>
      <c r="M55" s="15">
        <f>M56</f>
        <v>37852460</v>
      </c>
      <c r="N55" s="15">
        <f>N56</f>
        <v>5945966</v>
      </c>
      <c r="O55" s="15">
        <f>O56</f>
        <v>5945966</v>
      </c>
      <c r="P55" s="15">
        <f t="shared" si="0"/>
        <v>15.708268366177522</v>
      </c>
    </row>
    <row r="56" spans="1:16" ht="51.75" customHeight="1">
      <c r="A56" s="14" t="s">
        <v>197</v>
      </c>
      <c r="B56" s="63" t="s">
        <v>30</v>
      </c>
      <c r="C56" s="63">
        <v>0</v>
      </c>
      <c r="D56" s="63">
        <v>12</v>
      </c>
      <c r="E56" s="63">
        <v>815</v>
      </c>
      <c r="F56" s="63" t="s">
        <v>19</v>
      </c>
      <c r="G56" s="63" t="s">
        <v>14</v>
      </c>
      <c r="H56" s="63">
        <v>11260</v>
      </c>
      <c r="I56" s="63">
        <v>464</v>
      </c>
      <c r="J56" s="62"/>
      <c r="K56" s="62"/>
      <c r="L56" s="62"/>
      <c r="M56" s="15">
        <f>M57+M58</f>
        <v>37852460</v>
      </c>
      <c r="N56" s="15">
        <f>N57+N58</f>
        <v>5945966</v>
      </c>
      <c r="O56" s="15">
        <f>O57+O58</f>
        <v>5945966</v>
      </c>
      <c r="P56" s="15">
        <f t="shared" si="0"/>
        <v>15.708268366177522</v>
      </c>
    </row>
    <row r="57" spans="1:16" ht="31.5">
      <c r="A57" s="77" t="s">
        <v>198</v>
      </c>
      <c r="B57" s="67" t="s">
        <v>30</v>
      </c>
      <c r="C57" s="67">
        <v>0</v>
      </c>
      <c r="D57" s="67">
        <v>12</v>
      </c>
      <c r="E57" s="67">
        <v>815</v>
      </c>
      <c r="F57" s="67" t="s">
        <v>19</v>
      </c>
      <c r="G57" s="67" t="s">
        <v>14</v>
      </c>
      <c r="H57" s="67">
        <v>11260</v>
      </c>
      <c r="I57" s="67">
        <v>464</v>
      </c>
      <c r="J57" s="62" t="s">
        <v>248</v>
      </c>
      <c r="K57" s="62">
        <v>6</v>
      </c>
      <c r="L57" s="62">
        <v>2017</v>
      </c>
      <c r="M57" s="29">
        <v>31906494</v>
      </c>
      <c r="N57" s="29">
        <v>0</v>
      </c>
      <c r="O57" s="29">
        <v>0</v>
      </c>
      <c r="P57" s="29">
        <f t="shared" si="0"/>
        <v>0</v>
      </c>
    </row>
    <row r="58" spans="1:16" ht="47.25">
      <c r="A58" s="77" t="s">
        <v>199</v>
      </c>
      <c r="B58" s="67" t="s">
        <v>30</v>
      </c>
      <c r="C58" s="67">
        <v>0</v>
      </c>
      <c r="D58" s="67">
        <v>12</v>
      </c>
      <c r="E58" s="67">
        <v>815</v>
      </c>
      <c r="F58" s="67" t="s">
        <v>19</v>
      </c>
      <c r="G58" s="67" t="s">
        <v>14</v>
      </c>
      <c r="H58" s="67">
        <v>11260</v>
      </c>
      <c r="I58" s="67">
        <v>464</v>
      </c>
      <c r="J58" s="62" t="s">
        <v>84</v>
      </c>
      <c r="K58" s="62">
        <v>850</v>
      </c>
      <c r="L58" s="62">
        <v>2017</v>
      </c>
      <c r="M58" s="29">
        <v>5945966</v>
      </c>
      <c r="N58" s="29">
        <v>5945966</v>
      </c>
      <c r="O58" s="29">
        <v>5945966</v>
      </c>
      <c r="P58" s="29">
        <f t="shared" si="0"/>
        <v>100</v>
      </c>
    </row>
    <row r="59" spans="1:16" ht="33" customHeight="1">
      <c r="A59" s="14" t="s">
        <v>25</v>
      </c>
      <c r="B59" s="63">
        <v>15</v>
      </c>
      <c r="C59" s="63">
        <v>0</v>
      </c>
      <c r="D59" s="63">
        <v>12</v>
      </c>
      <c r="E59" s="63">
        <v>819</v>
      </c>
      <c r="F59" s="67"/>
      <c r="G59" s="67"/>
      <c r="H59" s="67"/>
      <c r="I59" s="67"/>
      <c r="J59" s="62"/>
      <c r="K59" s="62"/>
      <c r="L59" s="62"/>
      <c r="M59" s="15">
        <f aca="true" t="shared" si="7" ref="M59:O64">M60</f>
        <v>2500000</v>
      </c>
      <c r="N59" s="15">
        <f t="shared" si="7"/>
        <v>0</v>
      </c>
      <c r="O59" s="15">
        <f t="shared" si="7"/>
        <v>0</v>
      </c>
      <c r="P59" s="15">
        <f t="shared" si="0"/>
        <v>0</v>
      </c>
    </row>
    <row r="60" spans="1:16" ht="33" customHeight="1">
      <c r="A60" s="14" t="s">
        <v>54</v>
      </c>
      <c r="B60" s="63">
        <v>15</v>
      </c>
      <c r="C60" s="63">
        <v>0</v>
      </c>
      <c r="D60" s="63">
        <v>12</v>
      </c>
      <c r="E60" s="63">
        <v>819</v>
      </c>
      <c r="F60" s="67"/>
      <c r="G60" s="67"/>
      <c r="H60" s="67"/>
      <c r="I60" s="67"/>
      <c r="J60" s="62"/>
      <c r="K60" s="62"/>
      <c r="L60" s="62"/>
      <c r="M60" s="15">
        <f t="shared" si="7"/>
        <v>2500000</v>
      </c>
      <c r="N60" s="15">
        <f t="shared" si="7"/>
        <v>0</v>
      </c>
      <c r="O60" s="15">
        <f t="shared" si="7"/>
        <v>0</v>
      </c>
      <c r="P60" s="15">
        <f t="shared" si="0"/>
        <v>0</v>
      </c>
    </row>
    <row r="61" spans="1:16" ht="18.75" customHeight="1">
      <c r="A61" s="14" t="s">
        <v>31</v>
      </c>
      <c r="B61" s="63" t="s">
        <v>30</v>
      </c>
      <c r="C61" s="63">
        <v>0</v>
      </c>
      <c r="D61" s="63">
        <v>12</v>
      </c>
      <c r="E61" s="63" t="s">
        <v>26</v>
      </c>
      <c r="F61" s="63" t="s">
        <v>19</v>
      </c>
      <c r="G61" s="63" t="s">
        <v>0</v>
      </c>
      <c r="H61" s="63" t="s">
        <v>0</v>
      </c>
      <c r="I61" s="63" t="s">
        <v>0</v>
      </c>
      <c r="J61" s="62"/>
      <c r="K61" s="62"/>
      <c r="L61" s="62"/>
      <c r="M61" s="15">
        <f t="shared" si="7"/>
        <v>2500000</v>
      </c>
      <c r="N61" s="15">
        <f t="shared" si="7"/>
        <v>0</v>
      </c>
      <c r="O61" s="15">
        <f t="shared" si="7"/>
        <v>0</v>
      </c>
      <c r="P61" s="15">
        <f t="shared" si="0"/>
        <v>0</v>
      </c>
    </row>
    <row r="62" spans="1:16" ht="17.25" customHeight="1">
      <c r="A62" s="14" t="s">
        <v>32</v>
      </c>
      <c r="B62" s="63" t="s">
        <v>30</v>
      </c>
      <c r="C62" s="63">
        <v>0</v>
      </c>
      <c r="D62" s="63">
        <v>12</v>
      </c>
      <c r="E62" s="63" t="s">
        <v>26</v>
      </c>
      <c r="F62" s="63" t="s">
        <v>19</v>
      </c>
      <c r="G62" s="63" t="s">
        <v>14</v>
      </c>
      <c r="H62" s="63" t="s">
        <v>0</v>
      </c>
      <c r="I62" s="63" t="s">
        <v>0</v>
      </c>
      <c r="J62" s="62"/>
      <c r="K62" s="62"/>
      <c r="L62" s="62"/>
      <c r="M62" s="15">
        <f t="shared" si="7"/>
        <v>2500000</v>
      </c>
      <c r="N62" s="15">
        <f t="shared" si="7"/>
        <v>0</v>
      </c>
      <c r="O62" s="15">
        <f t="shared" si="7"/>
        <v>0</v>
      </c>
      <c r="P62" s="15">
        <f t="shared" si="0"/>
        <v>0</v>
      </c>
    </row>
    <row r="63" spans="1:16" ht="32.25" customHeight="1">
      <c r="A63" s="14" t="s">
        <v>27</v>
      </c>
      <c r="B63" s="63" t="s">
        <v>30</v>
      </c>
      <c r="C63" s="63">
        <v>0</v>
      </c>
      <c r="D63" s="63">
        <v>12</v>
      </c>
      <c r="E63" s="63" t="s">
        <v>26</v>
      </c>
      <c r="F63" s="63" t="s">
        <v>19</v>
      </c>
      <c r="G63" s="63" t="s">
        <v>14</v>
      </c>
      <c r="H63" s="63">
        <v>11260</v>
      </c>
      <c r="I63" s="63" t="s">
        <v>0</v>
      </c>
      <c r="J63" s="62"/>
      <c r="K63" s="62"/>
      <c r="L63" s="62"/>
      <c r="M63" s="15">
        <f t="shared" si="7"/>
        <v>2500000</v>
      </c>
      <c r="N63" s="15">
        <f t="shared" si="7"/>
        <v>0</v>
      </c>
      <c r="O63" s="15">
        <f t="shared" si="7"/>
        <v>0</v>
      </c>
      <c r="P63" s="15">
        <f t="shared" si="0"/>
        <v>0</v>
      </c>
    </row>
    <row r="64" spans="1:16" ht="47.25">
      <c r="A64" s="14" t="s">
        <v>28</v>
      </c>
      <c r="B64" s="63" t="s">
        <v>30</v>
      </c>
      <c r="C64" s="63">
        <v>0</v>
      </c>
      <c r="D64" s="63">
        <v>12</v>
      </c>
      <c r="E64" s="63" t="s">
        <v>26</v>
      </c>
      <c r="F64" s="63" t="s">
        <v>19</v>
      </c>
      <c r="G64" s="63" t="s">
        <v>14</v>
      </c>
      <c r="H64" s="63">
        <v>11260</v>
      </c>
      <c r="I64" s="63" t="s">
        <v>29</v>
      </c>
      <c r="J64" s="62"/>
      <c r="K64" s="62"/>
      <c r="L64" s="62"/>
      <c r="M64" s="15">
        <f t="shared" si="7"/>
        <v>2500000</v>
      </c>
      <c r="N64" s="15">
        <f t="shared" si="7"/>
        <v>0</v>
      </c>
      <c r="O64" s="15">
        <f t="shared" si="7"/>
        <v>0</v>
      </c>
      <c r="P64" s="15">
        <f t="shared" si="0"/>
        <v>0</v>
      </c>
    </row>
    <row r="65" spans="1:16" ht="31.5">
      <c r="A65" s="77" t="s">
        <v>291</v>
      </c>
      <c r="B65" s="67" t="s">
        <v>30</v>
      </c>
      <c r="C65" s="67">
        <v>0</v>
      </c>
      <c r="D65" s="67">
        <v>12</v>
      </c>
      <c r="E65" s="67" t="s">
        <v>26</v>
      </c>
      <c r="F65" s="67" t="s">
        <v>19</v>
      </c>
      <c r="G65" s="67" t="s">
        <v>14</v>
      </c>
      <c r="H65" s="67">
        <v>11260</v>
      </c>
      <c r="I65" s="67" t="s">
        <v>29</v>
      </c>
      <c r="J65" s="62"/>
      <c r="K65" s="62"/>
      <c r="L65" s="62"/>
      <c r="M65" s="29">
        <v>2500000</v>
      </c>
      <c r="N65" s="29">
        <v>0</v>
      </c>
      <c r="O65" s="29">
        <v>0</v>
      </c>
      <c r="P65" s="29">
        <f t="shared" si="0"/>
        <v>0</v>
      </c>
    </row>
    <row r="66" spans="1:16" ht="33" customHeight="1">
      <c r="A66" s="45" t="s">
        <v>33</v>
      </c>
      <c r="B66" s="40">
        <v>16</v>
      </c>
      <c r="C66" s="40">
        <v>0</v>
      </c>
      <c r="D66" s="40">
        <v>14</v>
      </c>
      <c r="E66" s="40"/>
      <c r="F66" s="40"/>
      <c r="G66" s="40"/>
      <c r="H66" s="40"/>
      <c r="I66" s="40"/>
      <c r="J66" s="64"/>
      <c r="K66" s="64"/>
      <c r="L66" s="57"/>
      <c r="M66" s="28">
        <f>M68</f>
        <v>13500000</v>
      </c>
      <c r="N66" s="28">
        <f>N68</f>
        <v>13500000</v>
      </c>
      <c r="O66" s="28">
        <f>O68</f>
        <v>13500000</v>
      </c>
      <c r="P66" s="15">
        <f t="shared" si="0"/>
        <v>100</v>
      </c>
    </row>
    <row r="67" spans="1:16" ht="21" customHeight="1">
      <c r="A67" s="14" t="s">
        <v>99</v>
      </c>
      <c r="B67" s="63">
        <v>16</v>
      </c>
      <c r="C67" s="63">
        <v>0</v>
      </c>
      <c r="D67" s="63">
        <v>14</v>
      </c>
      <c r="E67" s="40"/>
      <c r="F67" s="40"/>
      <c r="G67" s="40"/>
      <c r="H67" s="40"/>
      <c r="I67" s="40"/>
      <c r="J67" s="64"/>
      <c r="K67" s="64"/>
      <c r="L67" s="57"/>
      <c r="M67" s="28">
        <f>M68</f>
        <v>13500000</v>
      </c>
      <c r="N67" s="28">
        <f>N68</f>
        <v>13500000</v>
      </c>
      <c r="O67" s="28">
        <f>O68</f>
        <v>13500000</v>
      </c>
      <c r="P67" s="15">
        <f t="shared" si="0"/>
        <v>100</v>
      </c>
    </row>
    <row r="68" spans="1:16" ht="30.75" customHeight="1">
      <c r="A68" s="44" t="s">
        <v>25</v>
      </c>
      <c r="B68" s="63">
        <v>16</v>
      </c>
      <c r="C68" s="63">
        <v>0</v>
      </c>
      <c r="D68" s="63">
        <v>14</v>
      </c>
      <c r="E68" s="63">
        <v>819</v>
      </c>
      <c r="F68" s="67"/>
      <c r="G68" s="67"/>
      <c r="H68" s="67"/>
      <c r="I68" s="67"/>
      <c r="J68" s="62"/>
      <c r="K68" s="62"/>
      <c r="L68" s="62"/>
      <c r="M68" s="15">
        <f aca="true" t="shared" si="8" ref="M68:O69">M70</f>
        <v>13500000</v>
      </c>
      <c r="N68" s="15">
        <f t="shared" si="8"/>
        <v>13500000</v>
      </c>
      <c r="O68" s="15">
        <f t="shared" si="8"/>
        <v>13500000</v>
      </c>
      <c r="P68" s="15">
        <f t="shared" si="0"/>
        <v>100</v>
      </c>
    </row>
    <row r="69" spans="1:16" ht="36" customHeight="1">
      <c r="A69" s="14" t="s">
        <v>54</v>
      </c>
      <c r="B69" s="63">
        <v>16</v>
      </c>
      <c r="C69" s="63">
        <v>0</v>
      </c>
      <c r="D69" s="63">
        <v>14</v>
      </c>
      <c r="E69" s="63">
        <v>819</v>
      </c>
      <c r="F69" s="63"/>
      <c r="G69" s="63"/>
      <c r="H69" s="63"/>
      <c r="I69" s="63"/>
      <c r="J69" s="99"/>
      <c r="K69" s="99"/>
      <c r="L69" s="99"/>
      <c r="M69" s="15">
        <f t="shared" si="8"/>
        <v>13500000</v>
      </c>
      <c r="N69" s="15">
        <f t="shared" si="8"/>
        <v>13500000</v>
      </c>
      <c r="O69" s="15">
        <f t="shared" si="8"/>
        <v>13500000</v>
      </c>
      <c r="P69" s="15">
        <f t="shared" si="0"/>
        <v>100</v>
      </c>
    </row>
    <row r="70" spans="1:16" ht="19.5" customHeight="1">
      <c r="A70" s="14" t="s">
        <v>20</v>
      </c>
      <c r="B70" s="63" t="s">
        <v>34</v>
      </c>
      <c r="C70" s="63">
        <v>0</v>
      </c>
      <c r="D70" s="63">
        <v>14</v>
      </c>
      <c r="E70" s="63" t="s">
        <v>26</v>
      </c>
      <c r="F70" s="63" t="s">
        <v>21</v>
      </c>
      <c r="G70" s="63" t="s">
        <v>0</v>
      </c>
      <c r="H70" s="63" t="s">
        <v>0</v>
      </c>
      <c r="I70" s="63" t="s">
        <v>0</v>
      </c>
      <c r="J70" s="99"/>
      <c r="K70" s="99"/>
      <c r="L70" s="99"/>
      <c r="M70" s="15">
        <f>M69</f>
        <v>13500000</v>
      </c>
      <c r="N70" s="15">
        <f>N69</f>
        <v>13500000</v>
      </c>
      <c r="O70" s="15">
        <f>O69</f>
        <v>13500000</v>
      </c>
      <c r="P70" s="15">
        <f t="shared" si="0"/>
        <v>100</v>
      </c>
    </row>
    <row r="71" spans="1:16" ht="21.75" customHeight="1">
      <c r="A71" s="14" t="s">
        <v>35</v>
      </c>
      <c r="B71" s="63" t="s">
        <v>34</v>
      </c>
      <c r="C71" s="63">
        <v>0</v>
      </c>
      <c r="D71" s="63">
        <v>14</v>
      </c>
      <c r="E71" s="63" t="s">
        <v>26</v>
      </c>
      <c r="F71" s="63" t="s">
        <v>21</v>
      </c>
      <c r="G71" s="63" t="s">
        <v>14</v>
      </c>
      <c r="H71" s="63" t="s">
        <v>0</v>
      </c>
      <c r="I71" s="63" t="s">
        <v>0</v>
      </c>
      <c r="J71" s="99"/>
      <c r="K71" s="99"/>
      <c r="L71" s="99"/>
      <c r="M71" s="15">
        <f aca="true" t="shared" si="9" ref="M71:O74">M72</f>
        <v>13500000</v>
      </c>
      <c r="N71" s="15">
        <f t="shared" si="9"/>
        <v>13500000</v>
      </c>
      <c r="O71" s="15">
        <f t="shared" si="9"/>
        <v>13500000</v>
      </c>
      <c r="P71" s="15">
        <f t="shared" si="0"/>
        <v>100</v>
      </c>
    </row>
    <row r="72" spans="1:16" ht="36" customHeight="1">
      <c r="A72" s="14" t="s">
        <v>27</v>
      </c>
      <c r="B72" s="63" t="s">
        <v>34</v>
      </c>
      <c r="C72" s="63">
        <v>0</v>
      </c>
      <c r="D72" s="63">
        <v>14</v>
      </c>
      <c r="E72" s="63" t="s">
        <v>26</v>
      </c>
      <c r="F72" s="63" t="s">
        <v>21</v>
      </c>
      <c r="G72" s="63" t="s">
        <v>14</v>
      </c>
      <c r="H72" s="63">
        <v>11260</v>
      </c>
      <c r="I72" s="63" t="s">
        <v>0</v>
      </c>
      <c r="J72" s="99"/>
      <c r="K72" s="99"/>
      <c r="L72" s="99"/>
      <c r="M72" s="15">
        <f t="shared" si="9"/>
        <v>13500000</v>
      </c>
      <c r="N72" s="15">
        <f t="shared" si="9"/>
        <v>13500000</v>
      </c>
      <c r="O72" s="15">
        <f t="shared" si="9"/>
        <v>13500000</v>
      </c>
      <c r="P72" s="15">
        <f t="shared" si="0"/>
        <v>100</v>
      </c>
    </row>
    <row r="73" spans="1:16" ht="48.75" customHeight="1">
      <c r="A73" s="14" t="s">
        <v>28</v>
      </c>
      <c r="B73" s="63" t="s">
        <v>34</v>
      </c>
      <c r="C73" s="63">
        <v>0</v>
      </c>
      <c r="D73" s="63">
        <v>14</v>
      </c>
      <c r="E73" s="63" t="s">
        <v>26</v>
      </c>
      <c r="F73" s="63" t="s">
        <v>21</v>
      </c>
      <c r="G73" s="63" t="s">
        <v>14</v>
      </c>
      <c r="H73" s="63">
        <v>11260</v>
      </c>
      <c r="I73" s="63" t="s">
        <v>29</v>
      </c>
      <c r="J73" s="99"/>
      <c r="K73" s="99"/>
      <c r="L73" s="99"/>
      <c r="M73" s="15">
        <f t="shared" si="9"/>
        <v>13500000</v>
      </c>
      <c r="N73" s="15">
        <f t="shared" si="9"/>
        <v>13500000</v>
      </c>
      <c r="O73" s="15">
        <f t="shared" si="9"/>
        <v>13500000</v>
      </c>
      <c r="P73" s="15">
        <f t="shared" si="0"/>
        <v>100</v>
      </c>
    </row>
    <row r="74" spans="1:16" ht="18" customHeight="1">
      <c r="A74" s="73" t="s">
        <v>75</v>
      </c>
      <c r="B74" s="67"/>
      <c r="C74" s="67"/>
      <c r="D74" s="67"/>
      <c r="E74" s="67"/>
      <c r="F74" s="67"/>
      <c r="G74" s="67"/>
      <c r="H74" s="67"/>
      <c r="I74" s="67"/>
      <c r="J74" s="62"/>
      <c r="K74" s="62"/>
      <c r="L74" s="62"/>
      <c r="M74" s="15">
        <f t="shared" si="9"/>
        <v>13500000</v>
      </c>
      <c r="N74" s="15">
        <f t="shared" si="9"/>
        <v>13500000</v>
      </c>
      <c r="O74" s="15">
        <f t="shared" si="9"/>
        <v>13500000</v>
      </c>
      <c r="P74" s="15">
        <f t="shared" si="0"/>
        <v>100</v>
      </c>
    </row>
    <row r="75" spans="1:16" ht="33.75" customHeight="1">
      <c r="A75" s="77" t="s">
        <v>91</v>
      </c>
      <c r="B75" s="67">
        <v>16</v>
      </c>
      <c r="C75" s="67">
        <v>0</v>
      </c>
      <c r="D75" s="67">
        <v>14</v>
      </c>
      <c r="E75" s="67">
        <v>819</v>
      </c>
      <c r="F75" s="172" t="s">
        <v>21</v>
      </c>
      <c r="G75" s="172" t="s">
        <v>14</v>
      </c>
      <c r="H75" s="67">
        <v>11260</v>
      </c>
      <c r="I75" s="67">
        <v>414</v>
      </c>
      <c r="J75" s="62" t="s">
        <v>53</v>
      </c>
      <c r="K75" s="62">
        <v>270</v>
      </c>
      <c r="L75" s="62">
        <v>2019</v>
      </c>
      <c r="M75" s="29">
        <v>13500000</v>
      </c>
      <c r="N75" s="29">
        <v>13500000</v>
      </c>
      <c r="O75" s="29">
        <v>13500000</v>
      </c>
      <c r="P75" s="29">
        <f aca="true" t="shared" si="10" ref="P75:P138">O75/M75*100</f>
        <v>100</v>
      </c>
    </row>
    <row r="76" spans="1:16" ht="51" customHeight="1">
      <c r="A76" s="14" t="s">
        <v>280</v>
      </c>
      <c r="B76" s="63" t="s">
        <v>37</v>
      </c>
      <c r="C76" s="98" t="s">
        <v>0</v>
      </c>
      <c r="D76" s="98"/>
      <c r="E76" s="98" t="s">
        <v>0</v>
      </c>
      <c r="F76" s="98" t="s">
        <v>0</v>
      </c>
      <c r="G76" s="98" t="s">
        <v>0</v>
      </c>
      <c r="H76" s="98" t="s">
        <v>0</v>
      </c>
      <c r="I76" s="98" t="s">
        <v>0</v>
      </c>
      <c r="J76" s="62"/>
      <c r="K76" s="62"/>
      <c r="L76" s="62"/>
      <c r="M76" s="15">
        <f>M77+M85</f>
        <v>326948688</v>
      </c>
      <c r="N76" s="15">
        <f>N77+N85</f>
        <v>172865995.28</v>
      </c>
      <c r="O76" s="15">
        <f>O77+O85</f>
        <v>172778049.86</v>
      </c>
      <c r="P76" s="15">
        <f t="shared" si="10"/>
        <v>52.845616514601225</v>
      </c>
    </row>
    <row r="77" spans="1:16" ht="52.5" customHeight="1">
      <c r="A77" s="14" t="s">
        <v>282</v>
      </c>
      <c r="B77" s="63" t="s">
        <v>37</v>
      </c>
      <c r="C77" s="63" t="s">
        <v>11</v>
      </c>
      <c r="D77" s="98" t="s">
        <v>0</v>
      </c>
      <c r="E77" s="98"/>
      <c r="F77" s="98"/>
      <c r="G77" s="98"/>
      <c r="H77" s="98"/>
      <c r="I77" s="98"/>
      <c r="J77" s="62"/>
      <c r="K77" s="62"/>
      <c r="L77" s="62"/>
      <c r="M77" s="15">
        <f aca="true" t="shared" si="11" ref="M77:O79">M78</f>
        <v>4000000</v>
      </c>
      <c r="N77" s="15">
        <f t="shared" si="11"/>
        <v>0</v>
      </c>
      <c r="O77" s="15">
        <f t="shared" si="11"/>
        <v>0</v>
      </c>
      <c r="P77" s="15">
        <f t="shared" si="10"/>
        <v>0</v>
      </c>
    </row>
    <row r="78" spans="1:16" ht="66" customHeight="1">
      <c r="A78" s="14" t="s">
        <v>234</v>
      </c>
      <c r="B78" s="63" t="s">
        <v>37</v>
      </c>
      <c r="C78" s="63" t="s">
        <v>11</v>
      </c>
      <c r="D78" s="63" t="s">
        <v>226</v>
      </c>
      <c r="E78" s="98"/>
      <c r="F78" s="98"/>
      <c r="G78" s="98"/>
      <c r="H78" s="98"/>
      <c r="I78" s="98"/>
      <c r="J78" s="62"/>
      <c r="K78" s="62"/>
      <c r="L78" s="62"/>
      <c r="M78" s="15">
        <f t="shared" si="11"/>
        <v>4000000</v>
      </c>
      <c r="N78" s="15">
        <f t="shared" si="11"/>
        <v>0</v>
      </c>
      <c r="O78" s="15">
        <f t="shared" si="11"/>
        <v>0</v>
      </c>
      <c r="P78" s="15">
        <f t="shared" si="10"/>
        <v>0</v>
      </c>
    </row>
    <row r="79" spans="1:16" ht="24" customHeight="1">
      <c r="A79" s="14" t="s">
        <v>170</v>
      </c>
      <c r="B79" s="63" t="s">
        <v>37</v>
      </c>
      <c r="C79" s="63">
        <v>2</v>
      </c>
      <c r="D79" s="63">
        <v>21</v>
      </c>
      <c r="E79" s="63">
        <v>817</v>
      </c>
      <c r="F79" s="98"/>
      <c r="G79" s="98"/>
      <c r="H79" s="98"/>
      <c r="I79" s="98"/>
      <c r="J79" s="62"/>
      <c r="K79" s="62"/>
      <c r="L79" s="62"/>
      <c r="M79" s="15">
        <f t="shared" si="11"/>
        <v>4000000</v>
      </c>
      <c r="N79" s="15">
        <f t="shared" si="11"/>
        <v>0</v>
      </c>
      <c r="O79" s="15">
        <f t="shared" si="11"/>
        <v>0</v>
      </c>
      <c r="P79" s="15">
        <f t="shared" si="10"/>
        <v>0</v>
      </c>
    </row>
    <row r="80" spans="1:16" ht="20.25" customHeight="1">
      <c r="A80" s="173" t="s">
        <v>18</v>
      </c>
      <c r="B80" s="63" t="s">
        <v>37</v>
      </c>
      <c r="C80" s="63">
        <v>2</v>
      </c>
      <c r="D80" s="63">
        <v>21</v>
      </c>
      <c r="E80" s="63">
        <v>817</v>
      </c>
      <c r="F80" s="166" t="s">
        <v>16</v>
      </c>
      <c r="G80" s="166"/>
      <c r="H80" s="98"/>
      <c r="I80" s="98"/>
      <c r="J80" s="62"/>
      <c r="K80" s="62"/>
      <c r="L80" s="62"/>
      <c r="M80" s="15">
        <f>M82</f>
        <v>4000000</v>
      </c>
      <c r="N80" s="15">
        <f>N82</f>
        <v>0</v>
      </c>
      <c r="O80" s="15">
        <f>O82</f>
        <v>0</v>
      </c>
      <c r="P80" s="15">
        <f t="shared" si="10"/>
        <v>0</v>
      </c>
    </row>
    <row r="81" spans="1:16" ht="19.5" customHeight="1">
      <c r="A81" s="173" t="s">
        <v>172</v>
      </c>
      <c r="B81" s="63" t="s">
        <v>37</v>
      </c>
      <c r="C81" s="63">
        <v>2</v>
      </c>
      <c r="D81" s="63">
        <v>21</v>
      </c>
      <c r="E81" s="63">
        <v>817</v>
      </c>
      <c r="F81" s="166" t="s">
        <v>16</v>
      </c>
      <c r="G81" s="166" t="s">
        <v>17</v>
      </c>
      <c r="H81" s="98"/>
      <c r="I81" s="98"/>
      <c r="J81" s="62"/>
      <c r="K81" s="62"/>
      <c r="L81" s="62"/>
      <c r="M81" s="15">
        <f aca="true" t="shared" si="12" ref="M81:O83">M82</f>
        <v>4000000</v>
      </c>
      <c r="N81" s="15">
        <f t="shared" si="12"/>
        <v>0</v>
      </c>
      <c r="O81" s="15">
        <f t="shared" si="12"/>
        <v>0</v>
      </c>
      <c r="P81" s="15">
        <f t="shared" si="10"/>
        <v>0</v>
      </c>
    </row>
    <row r="82" spans="1:16" ht="20.25" customHeight="1">
      <c r="A82" s="173" t="s">
        <v>235</v>
      </c>
      <c r="B82" s="63" t="s">
        <v>37</v>
      </c>
      <c r="C82" s="63">
        <v>2</v>
      </c>
      <c r="D82" s="63">
        <v>21</v>
      </c>
      <c r="E82" s="63">
        <v>817</v>
      </c>
      <c r="F82" s="166" t="s">
        <v>16</v>
      </c>
      <c r="G82" s="166" t="s">
        <v>17</v>
      </c>
      <c r="H82" s="63">
        <v>15300</v>
      </c>
      <c r="I82" s="98"/>
      <c r="J82" s="62"/>
      <c r="K82" s="62"/>
      <c r="L82" s="62"/>
      <c r="M82" s="15">
        <f t="shared" si="12"/>
        <v>4000000</v>
      </c>
      <c r="N82" s="15">
        <f t="shared" si="12"/>
        <v>0</v>
      </c>
      <c r="O82" s="15">
        <f t="shared" si="12"/>
        <v>0</v>
      </c>
      <c r="P82" s="15">
        <f t="shared" si="10"/>
        <v>0</v>
      </c>
    </row>
    <row r="83" spans="1:16" ht="69" customHeight="1">
      <c r="A83" s="14" t="s">
        <v>236</v>
      </c>
      <c r="B83" s="63" t="s">
        <v>37</v>
      </c>
      <c r="C83" s="63">
        <v>2</v>
      </c>
      <c r="D83" s="63">
        <v>21</v>
      </c>
      <c r="E83" s="63">
        <v>817</v>
      </c>
      <c r="F83" s="166" t="s">
        <v>16</v>
      </c>
      <c r="G83" s="166" t="s">
        <v>17</v>
      </c>
      <c r="H83" s="63">
        <v>15300</v>
      </c>
      <c r="I83" s="63">
        <v>466</v>
      </c>
      <c r="J83" s="62"/>
      <c r="K83" s="62"/>
      <c r="L83" s="62"/>
      <c r="M83" s="15">
        <f t="shared" si="12"/>
        <v>4000000</v>
      </c>
      <c r="N83" s="15">
        <f t="shared" si="12"/>
        <v>0</v>
      </c>
      <c r="O83" s="15">
        <f t="shared" si="12"/>
        <v>0</v>
      </c>
      <c r="P83" s="15">
        <f t="shared" si="10"/>
        <v>0</v>
      </c>
    </row>
    <row r="84" spans="1:16" ht="38.25" customHeight="1">
      <c r="A84" s="77" t="s">
        <v>233</v>
      </c>
      <c r="B84" s="67" t="s">
        <v>37</v>
      </c>
      <c r="C84" s="67">
        <v>2</v>
      </c>
      <c r="D84" s="67">
        <v>21</v>
      </c>
      <c r="E84" s="67">
        <v>817</v>
      </c>
      <c r="F84" s="172" t="s">
        <v>16</v>
      </c>
      <c r="G84" s="172" t="s">
        <v>17</v>
      </c>
      <c r="H84" s="67">
        <v>15300</v>
      </c>
      <c r="I84" s="67">
        <v>466</v>
      </c>
      <c r="J84" s="12" t="s">
        <v>243</v>
      </c>
      <c r="K84" s="62">
        <v>324</v>
      </c>
      <c r="L84" s="62" t="s">
        <v>394</v>
      </c>
      <c r="M84" s="29">
        <v>4000000</v>
      </c>
      <c r="N84" s="29">
        <v>0</v>
      </c>
      <c r="O84" s="29">
        <v>0</v>
      </c>
      <c r="P84" s="29">
        <f t="shared" si="10"/>
        <v>0</v>
      </c>
    </row>
    <row r="85" spans="1:16" ht="37.5" customHeight="1">
      <c r="A85" s="14" t="s">
        <v>281</v>
      </c>
      <c r="B85" s="63" t="s">
        <v>37</v>
      </c>
      <c r="C85" s="63">
        <v>9</v>
      </c>
      <c r="D85" s="63"/>
      <c r="E85" s="98" t="s">
        <v>0</v>
      </c>
      <c r="F85" s="98" t="s">
        <v>0</v>
      </c>
      <c r="G85" s="98" t="s">
        <v>0</v>
      </c>
      <c r="H85" s="98" t="s">
        <v>0</v>
      </c>
      <c r="I85" s="98" t="s">
        <v>0</v>
      </c>
      <c r="J85" s="62"/>
      <c r="K85" s="62"/>
      <c r="L85" s="62"/>
      <c r="M85" s="15">
        <f aca="true" t="shared" si="13" ref="M85:O86">M86</f>
        <v>322948688</v>
      </c>
      <c r="N85" s="15">
        <f t="shared" si="13"/>
        <v>172865995.28</v>
      </c>
      <c r="O85" s="15">
        <f t="shared" si="13"/>
        <v>172778049.86</v>
      </c>
      <c r="P85" s="15">
        <f t="shared" si="10"/>
        <v>53.50015537452811</v>
      </c>
    </row>
    <row r="86" spans="1:16" ht="69" customHeight="1">
      <c r="A86" s="14" t="s">
        <v>348</v>
      </c>
      <c r="B86" s="63" t="s">
        <v>37</v>
      </c>
      <c r="C86" s="63">
        <v>9</v>
      </c>
      <c r="D86" s="63">
        <v>97</v>
      </c>
      <c r="E86" s="98"/>
      <c r="F86" s="98"/>
      <c r="G86" s="98"/>
      <c r="H86" s="98"/>
      <c r="I86" s="98"/>
      <c r="J86" s="62"/>
      <c r="K86" s="62"/>
      <c r="L86" s="62"/>
      <c r="M86" s="15">
        <f t="shared" si="13"/>
        <v>322948688</v>
      </c>
      <c r="N86" s="15">
        <f t="shared" si="13"/>
        <v>172865995.28</v>
      </c>
      <c r="O86" s="15">
        <f t="shared" si="13"/>
        <v>172778049.86</v>
      </c>
      <c r="P86" s="15">
        <f t="shared" si="10"/>
        <v>53.50015537452811</v>
      </c>
    </row>
    <row r="87" spans="1:16" ht="33" customHeight="1">
      <c r="A87" s="174" t="s">
        <v>25</v>
      </c>
      <c r="B87" s="76">
        <v>17</v>
      </c>
      <c r="C87" s="76">
        <v>9</v>
      </c>
      <c r="D87" s="76">
        <v>97</v>
      </c>
      <c r="E87" s="76">
        <v>819</v>
      </c>
      <c r="F87" s="80"/>
      <c r="G87" s="81"/>
      <c r="H87" s="11"/>
      <c r="I87" s="11"/>
      <c r="J87" s="12"/>
      <c r="K87" s="12"/>
      <c r="L87" s="42"/>
      <c r="M87" s="28">
        <f aca="true" t="shared" si="14" ref="M87:O93">M88</f>
        <v>322948688</v>
      </c>
      <c r="N87" s="28">
        <f t="shared" si="14"/>
        <v>172865995.28</v>
      </c>
      <c r="O87" s="28">
        <f t="shared" si="14"/>
        <v>172778049.86</v>
      </c>
      <c r="P87" s="15">
        <f t="shared" si="10"/>
        <v>53.50015537452811</v>
      </c>
    </row>
    <row r="88" spans="1:16" ht="20.25" customHeight="1">
      <c r="A88" s="109" t="s">
        <v>18</v>
      </c>
      <c r="B88" s="76">
        <v>17</v>
      </c>
      <c r="C88" s="76">
        <v>9</v>
      </c>
      <c r="D88" s="76">
        <v>97</v>
      </c>
      <c r="E88" s="76">
        <v>819</v>
      </c>
      <c r="F88" s="80" t="s">
        <v>16</v>
      </c>
      <c r="G88" s="80"/>
      <c r="H88" s="80"/>
      <c r="I88" s="80"/>
      <c r="J88" s="83"/>
      <c r="K88" s="83"/>
      <c r="L88" s="83"/>
      <c r="M88" s="28">
        <f t="shared" si="14"/>
        <v>322948688</v>
      </c>
      <c r="N88" s="28">
        <f t="shared" si="14"/>
        <v>172865995.28</v>
      </c>
      <c r="O88" s="28">
        <f t="shared" si="14"/>
        <v>172778049.86</v>
      </c>
      <c r="P88" s="15">
        <f t="shared" si="10"/>
        <v>53.50015537452811</v>
      </c>
    </row>
    <row r="89" spans="1:16" ht="21" customHeight="1">
      <c r="A89" s="44" t="s">
        <v>42</v>
      </c>
      <c r="B89" s="63">
        <v>17</v>
      </c>
      <c r="C89" s="63">
        <v>9</v>
      </c>
      <c r="D89" s="63">
        <v>97</v>
      </c>
      <c r="E89" s="63">
        <v>819</v>
      </c>
      <c r="F89" s="63" t="s">
        <v>16</v>
      </c>
      <c r="G89" s="63" t="s">
        <v>22</v>
      </c>
      <c r="H89" s="63"/>
      <c r="I89" s="63"/>
      <c r="J89" s="62"/>
      <c r="K89" s="62"/>
      <c r="L89" s="62"/>
      <c r="M89" s="15">
        <f t="shared" si="14"/>
        <v>322948688</v>
      </c>
      <c r="N89" s="15">
        <f t="shared" si="14"/>
        <v>172865995.28</v>
      </c>
      <c r="O89" s="15">
        <f t="shared" si="14"/>
        <v>172778049.86</v>
      </c>
      <c r="P89" s="15">
        <f t="shared" si="10"/>
        <v>53.50015537452811</v>
      </c>
    </row>
    <row r="90" spans="1:16" ht="23.25" customHeight="1">
      <c r="A90" s="44" t="s">
        <v>87</v>
      </c>
      <c r="B90" s="63">
        <v>17</v>
      </c>
      <c r="C90" s="63">
        <v>9</v>
      </c>
      <c r="D90" s="63">
        <v>97</v>
      </c>
      <c r="E90" s="63">
        <v>819</v>
      </c>
      <c r="F90" s="63" t="s">
        <v>16</v>
      </c>
      <c r="G90" s="63" t="s">
        <v>22</v>
      </c>
      <c r="H90" s="63" t="s">
        <v>246</v>
      </c>
      <c r="I90" s="63"/>
      <c r="J90" s="62"/>
      <c r="K90" s="62"/>
      <c r="L90" s="62"/>
      <c r="M90" s="15">
        <f t="shared" si="14"/>
        <v>322948688</v>
      </c>
      <c r="N90" s="15">
        <f t="shared" si="14"/>
        <v>172865995.28</v>
      </c>
      <c r="O90" s="15">
        <f t="shared" si="14"/>
        <v>172778049.86</v>
      </c>
      <c r="P90" s="15">
        <f t="shared" si="10"/>
        <v>53.50015537452811</v>
      </c>
    </row>
    <row r="91" spans="1:16" ht="33.75" customHeight="1">
      <c r="A91" s="44" t="s">
        <v>122</v>
      </c>
      <c r="B91" s="63">
        <v>17</v>
      </c>
      <c r="C91" s="63">
        <v>9</v>
      </c>
      <c r="D91" s="63">
        <v>97</v>
      </c>
      <c r="E91" s="63">
        <v>819</v>
      </c>
      <c r="F91" s="63" t="s">
        <v>16</v>
      </c>
      <c r="G91" s="63" t="s">
        <v>22</v>
      </c>
      <c r="H91" s="63" t="s">
        <v>246</v>
      </c>
      <c r="I91" s="63">
        <v>414</v>
      </c>
      <c r="J91" s="62"/>
      <c r="K91" s="62"/>
      <c r="L91" s="62"/>
      <c r="M91" s="15">
        <f t="shared" si="14"/>
        <v>322948688</v>
      </c>
      <c r="N91" s="15">
        <f t="shared" si="14"/>
        <v>172865995.28</v>
      </c>
      <c r="O91" s="15">
        <f t="shared" si="14"/>
        <v>172778049.86</v>
      </c>
      <c r="P91" s="15">
        <f t="shared" si="10"/>
        <v>53.50015537452811</v>
      </c>
    </row>
    <row r="92" spans="1:16" ht="47.25">
      <c r="A92" s="44" t="s">
        <v>28</v>
      </c>
      <c r="B92" s="63">
        <v>17</v>
      </c>
      <c r="C92" s="63">
        <v>9</v>
      </c>
      <c r="D92" s="63">
        <v>97</v>
      </c>
      <c r="E92" s="63">
        <v>819</v>
      </c>
      <c r="F92" s="63" t="s">
        <v>16</v>
      </c>
      <c r="G92" s="63" t="s">
        <v>22</v>
      </c>
      <c r="H92" s="63" t="s">
        <v>246</v>
      </c>
      <c r="I92" s="63">
        <v>414</v>
      </c>
      <c r="J92" s="62"/>
      <c r="K92" s="62"/>
      <c r="L92" s="62"/>
      <c r="M92" s="15">
        <f>M94+M99</f>
        <v>322948688</v>
      </c>
      <c r="N92" s="15">
        <f>N94+N99</f>
        <v>172865995.28</v>
      </c>
      <c r="O92" s="15">
        <f>O94+O99</f>
        <v>172778049.86</v>
      </c>
      <c r="P92" s="15">
        <f t="shared" si="10"/>
        <v>53.50015537452811</v>
      </c>
    </row>
    <row r="93" spans="1:16" ht="18.75" customHeight="1">
      <c r="A93" s="44" t="s">
        <v>56</v>
      </c>
      <c r="B93" s="63"/>
      <c r="C93" s="63"/>
      <c r="D93" s="63"/>
      <c r="E93" s="63"/>
      <c r="F93" s="63"/>
      <c r="G93" s="63"/>
      <c r="H93" s="63"/>
      <c r="I93" s="63"/>
      <c r="J93" s="62"/>
      <c r="K93" s="62"/>
      <c r="L93" s="62"/>
      <c r="M93" s="15">
        <f t="shared" si="14"/>
        <v>100919488</v>
      </c>
      <c r="N93" s="15">
        <f t="shared" si="14"/>
        <v>22913273.38</v>
      </c>
      <c r="O93" s="15">
        <f t="shared" si="14"/>
        <v>22825327.96</v>
      </c>
      <c r="P93" s="15">
        <f t="shared" si="10"/>
        <v>22.617364011993402</v>
      </c>
    </row>
    <row r="94" spans="1:16" ht="31.5">
      <c r="A94" s="10" t="s">
        <v>355</v>
      </c>
      <c r="B94" s="67">
        <v>17</v>
      </c>
      <c r="C94" s="67">
        <v>9</v>
      </c>
      <c r="D94" s="67">
        <v>97</v>
      </c>
      <c r="E94" s="67">
        <v>819</v>
      </c>
      <c r="F94" s="67" t="s">
        <v>16</v>
      </c>
      <c r="G94" s="67" t="s">
        <v>22</v>
      </c>
      <c r="H94" s="67" t="s">
        <v>246</v>
      </c>
      <c r="I94" s="67">
        <v>414</v>
      </c>
      <c r="J94" s="62" t="s">
        <v>58</v>
      </c>
      <c r="K94" s="62">
        <v>6.061</v>
      </c>
      <c r="L94" s="62">
        <v>2017</v>
      </c>
      <c r="M94" s="29">
        <f>M96+M97</f>
        <v>100919488</v>
      </c>
      <c r="N94" s="29">
        <f>N96+N97</f>
        <v>22913273.38</v>
      </c>
      <c r="O94" s="29">
        <f>O96+O97</f>
        <v>22825327.96</v>
      </c>
      <c r="P94" s="29">
        <f t="shared" si="10"/>
        <v>22.617364011993402</v>
      </c>
    </row>
    <row r="95" spans="1:16" ht="15.75">
      <c r="A95" s="78" t="s">
        <v>49</v>
      </c>
      <c r="B95" s="67"/>
      <c r="C95" s="67"/>
      <c r="D95" s="67"/>
      <c r="E95" s="67"/>
      <c r="F95" s="67"/>
      <c r="G95" s="67"/>
      <c r="H95" s="67"/>
      <c r="I95" s="67"/>
      <c r="J95" s="62"/>
      <c r="K95" s="62"/>
      <c r="L95" s="62"/>
      <c r="M95" s="29"/>
      <c r="N95" s="29"/>
      <c r="O95" s="29"/>
      <c r="P95" s="29"/>
    </row>
    <row r="96" spans="1:16" ht="18.75" customHeight="1">
      <c r="A96" s="78" t="s">
        <v>345</v>
      </c>
      <c r="B96" s="67"/>
      <c r="C96" s="67"/>
      <c r="D96" s="67"/>
      <c r="E96" s="67"/>
      <c r="F96" s="67"/>
      <c r="G96" s="67"/>
      <c r="H96" s="67"/>
      <c r="I96" s="67"/>
      <c r="J96" s="62"/>
      <c r="K96" s="62"/>
      <c r="L96" s="62"/>
      <c r="M96" s="29">
        <v>70482800</v>
      </c>
      <c r="N96" s="29">
        <v>15899822.53</v>
      </c>
      <c r="O96" s="29">
        <v>15838436.66</v>
      </c>
      <c r="P96" s="29">
        <f t="shared" si="10"/>
        <v>22.47134997474561</v>
      </c>
    </row>
    <row r="97" spans="1:16" ht="17.25" customHeight="1">
      <c r="A97" s="78" t="s">
        <v>346</v>
      </c>
      <c r="B97" s="67"/>
      <c r="C97" s="67"/>
      <c r="D97" s="67"/>
      <c r="E97" s="67"/>
      <c r="F97" s="67"/>
      <c r="G97" s="67"/>
      <c r="H97" s="67"/>
      <c r="I97" s="67"/>
      <c r="J97" s="62"/>
      <c r="K97" s="62"/>
      <c r="L97" s="62"/>
      <c r="M97" s="29">
        <f>30206888+229800</f>
        <v>30436688</v>
      </c>
      <c r="N97" s="29">
        <v>7013450.85</v>
      </c>
      <c r="O97" s="29">
        <v>6986891.3</v>
      </c>
      <c r="P97" s="29">
        <f t="shared" si="10"/>
        <v>22.955491412206218</v>
      </c>
    </row>
    <row r="98" spans="1:16" s="8" customFormat="1" ht="15.75">
      <c r="A98" s="44" t="s">
        <v>96</v>
      </c>
      <c r="B98" s="63"/>
      <c r="C98" s="63"/>
      <c r="D98" s="63"/>
      <c r="E98" s="63"/>
      <c r="F98" s="63"/>
      <c r="G98" s="63"/>
      <c r="H98" s="63"/>
      <c r="I98" s="63"/>
      <c r="J98" s="99"/>
      <c r="K98" s="99"/>
      <c r="L98" s="99"/>
      <c r="M98" s="15">
        <f>M99</f>
        <v>222029200</v>
      </c>
      <c r="N98" s="15">
        <f>N99</f>
        <v>149952721.9</v>
      </c>
      <c r="O98" s="15">
        <f>O99</f>
        <v>149952721.9</v>
      </c>
      <c r="P98" s="15">
        <f t="shared" si="10"/>
        <v>67.53738783006919</v>
      </c>
    </row>
    <row r="99" spans="1:16" ht="47.25">
      <c r="A99" s="10" t="s">
        <v>313</v>
      </c>
      <c r="B99" s="67">
        <v>17</v>
      </c>
      <c r="C99" s="67">
        <v>9</v>
      </c>
      <c r="D99" s="67">
        <v>97</v>
      </c>
      <c r="E99" s="67">
        <v>819</v>
      </c>
      <c r="F99" s="67" t="s">
        <v>16</v>
      </c>
      <c r="G99" s="67" t="s">
        <v>22</v>
      </c>
      <c r="H99" s="67" t="s">
        <v>246</v>
      </c>
      <c r="I99" s="67">
        <v>414</v>
      </c>
      <c r="J99" s="62" t="s">
        <v>58</v>
      </c>
      <c r="K99" s="62">
        <v>13.745</v>
      </c>
      <c r="L99" s="62">
        <v>2017</v>
      </c>
      <c r="M99" s="29">
        <f>M101+M102</f>
        <v>222029200</v>
      </c>
      <c r="N99" s="29">
        <f>N101+N102</f>
        <v>149952721.9</v>
      </c>
      <c r="O99" s="29">
        <f>O101+O102</f>
        <v>149952721.9</v>
      </c>
      <c r="P99" s="29">
        <f t="shared" si="10"/>
        <v>67.53738783006919</v>
      </c>
    </row>
    <row r="100" spans="1:16" ht="15.75">
      <c r="A100" s="78" t="s">
        <v>49</v>
      </c>
      <c r="B100" s="67"/>
      <c r="C100" s="67"/>
      <c r="D100" s="67"/>
      <c r="E100" s="67"/>
      <c r="F100" s="67"/>
      <c r="G100" s="67"/>
      <c r="H100" s="67"/>
      <c r="I100" s="67"/>
      <c r="J100" s="62"/>
      <c r="K100" s="62"/>
      <c r="L100" s="62"/>
      <c r="M100" s="29"/>
      <c r="N100" s="29"/>
      <c r="O100" s="29"/>
      <c r="P100" s="29"/>
    </row>
    <row r="101" spans="1:16" ht="15.75">
      <c r="A101" s="78" t="s">
        <v>345</v>
      </c>
      <c r="B101" s="67"/>
      <c r="C101" s="67"/>
      <c r="D101" s="67"/>
      <c r="E101" s="67"/>
      <c r="F101" s="67"/>
      <c r="G101" s="67"/>
      <c r="H101" s="67"/>
      <c r="I101" s="67"/>
      <c r="J101" s="62"/>
      <c r="K101" s="62"/>
      <c r="L101" s="62"/>
      <c r="M101" s="29">
        <v>155189500</v>
      </c>
      <c r="N101" s="29">
        <v>104660019.88</v>
      </c>
      <c r="O101" s="29">
        <v>104660019.88</v>
      </c>
      <c r="P101" s="29">
        <f t="shared" si="10"/>
        <v>67.44014245809156</v>
      </c>
    </row>
    <row r="102" spans="1:16" ht="17.25" customHeight="1">
      <c r="A102" s="78" t="s">
        <v>346</v>
      </c>
      <c r="B102" s="67"/>
      <c r="C102" s="67"/>
      <c r="D102" s="67"/>
      <c r="E102" s="67"/>
      <c r="F102" s="67"/>
      <c r="G102" s="67"/>
      <c r="H102" s="67"/>
      <c r="I102" s="67"/>
      <c r="J102" s="62"/>
      <c r="K102" s="62"/>
      <c r="L102" s="62"/>
      <c r="M102" s="29">
        <f>66709800+129900</f>
        <v>66839700</v>
      </c>
      <c r="N102" s="29">
        <v>45292702.02</v>
      </c>
      <c r="O102" s="29">
        <v>45292702.02</v>
      </c>
      <c r="P102" s="29">
        <f t="shared" si="10"/>
        <v>67.76317371262888</v>
      </c>
    </row>
    <row r="103" spans="1:16" ht="47.25">
      <c r="A103" s="14" t="s">
        <v>83</v>
      </c>
      <c r="B103" s="63" t="s">
        <v>38</v>
      </c>
      <c r="C103" s="63"/>
      <c r="D103" s="63"/>
      <c r="E103" s="98" t="s">
        <v>0</v>
      </c>
      <c r="F103" s="98" t="s">
        <v>0</v>
      </c>
      <c r="G103" s="98" t="s">
        <v>0</v>
      </c>
      <c r="H103" s="98" t="s">
        <v>0</v>
      </c>
      <c r="I103" s="98" t="s">
        <v>0</v>
      </c>
      <c r="J103" s="62"/>
      <c r="K103" s="62"/>
      <c r="L103" s="62"/>
      <c r="M103" s="15">
        <f>M117+M106</f>
        <v>344003469.71000004</v>
      </c>
      <c r="N103" s="15">
        <f>N117+N106</f>
        <v>130131827.29999998</v>
      </c>
      <c r="O103" s="15">
        <f>O117+O106</f>
        <v>130067877.17999999</v>
      </c>
      <c r="P103" s="15">
        <f t="shared" si="10"/>
        <v>37.810048046797064</v>
      </c>
    </row>
    <row r="104" spans="1:16" ht="15.75" hidden="1">
      <c r="A104" s="44" t="s">
        <v>61</v>
      </c>
      <c r="B104" s="67"/>
      <c r="C104" s="67"/>
      <c r="D104" s="67"/>
      <c r="E104" s="67"/>
      <c r="F104" s="67"/>
      <c r="G104" s="67"/>
      <c r="H104" s="67"/>
      <c r="I104" s="67"/>
      <c r="J104" s="12"/>
      <c r="K104" s="12"/>
      <c r="L104" s="12"/>
      <c r="M104" s="15">
        <f>M105</f>
        <v>0</v>
      </c>
      <c r="N104" s="15">
        <f>N105</f>
        <v>0</v>
      </c>
      <c r="O104" s="15">
        <f>O105</f>
        <v>0</v>
      </c>
      <c r="P104" s="15" t="e">
        <f t="shared" si="10"/>
        <v>#DIV/0!</v>
      </c>
    </row>
    <row r="105" spans="1:16" ht="15.75" hidden="1">
      <c r="A105" s="10" t="s">
        <v>94</v>
      </c>
      <c r="B105" s="67" t="s">
        <v>38</v>
      </c>
      <c r="C105" s="67" t="s">
        <v>10</v>
      </c>
      <c r="D105" s="67">
        <v>13</v>
      </c>
      <c r="E105" s="67" t="s">
        <v>26</v>
      </c>
      <c r="F105" s="67" t="s">
        <v>17</v>
      </c>
      <c r="G105" s="67" t="s">
        <v>15</v>
      </c>
      <c r="H105" s="67">
        <v>11260</v>
      </c>
      <c r="I105" s="67" t="s">
        <v>29</v>
      </c>
      <c r="J105" s="12" t="s">
        <v>109</v>
      </c>
      <c r="K105" s="12">
        <v>2500</v>
      </c>
      <c r="L105" s="12"/>
      <c r="M105" s="29">
        <v>0</v>
      </c>
      <c r="N105" s="29">
        <v>0</v>
      </c>
      <c r="O105" s="29">
        <v>0</v>
      </c>
      <c r="P105" s="15" t="e">
        <f t="shared" si="10"/>
        <v>#DIV/0!</v>
      </c>
    </row>
    <row r="106" spans="1:16" ht="34.5" customHeight="1">
      <c r="A106" s="14" t="s">
        <v>40</v>
      </c>
      <c r="B106" s="63" t="s">
        <v>38</v>
      </c>
      <c r="C106" s="63" t="s">
        <v>11</v>
      </c>
      <c r="D106" s="63"/>
      <c r="E106" s="98" t="s">
        <v>0</v>
      </c>
      <c r="F106" s="98" t="s">
        <v>0</v>
      </c>
      <c r="G106" s="98" t="s">
        <v>0</v>
      </c>
      <c r="H106" s="98" t="s">
        <v>0</v>
      </c>
      <c r="I106" s="98" t="s">
        <v>0</v>
      </c>
      <c r="J106" s="62"/>
      <c r="K106" s="62"/>
      <c r="L106" s="62"/>
      <c r="M106" s="15">
        <f aca="true" t="shared" si="15" ref="M106:O115">M107</f>
        <v>931246</v>
      </c>
      <c r="N106" s="15">
        <f t="shared" si="15"/>
        <v>135200</v>
      </c>
      <c r="O106" s="15">
        <f t="shared" si="15"/>
        <v>162367.06</v>
      </c>
      <c r="P106" s="15">
        <f t="shared" si="10"/>
        <v>17.435463883871716</v>
      </c>
    </row>
    <row r="107" spans="1:16" ht="47.25">
      <c r="A107" s="14" t="s">
        <v>102</v>
      </c>
      <c r="B107" s="63" t="s">
        <v>38</v>
      </c>
      <c r="C107" s="63" t="s">
        <v>11</v>
      </c>
      <c r="D107" s="63">
        <v>14</v>
      </c>
      <c r="E107" s="98"/>
      <c r="F107" s="98"/>
      <c r="G107" s="98"/>
      <c r="H107" s="98"/>
      <c r="I107" s="98"/>
      <c r="J107" s="62"/>
      <c r="K107" s="62"/>
      <c r="L107" s="62"/>
      <c r="M107" s="15">
        <f t="shared" si="15"/>
        <v>931246</v>
      </c>
      <c r="N107" s="15">
        <f t="shared" si="15"/>
        <v>135200</v>
      </c>
      <c r="O107" s="15">
        <f t="shared" si="15"/>
        <v>162367.06</v>
      </c>
      <c r="P107" s="15">
        <f t="shared" si="10"/>
        <v>17.435463883871716</v>
      </c>
    </row>
    <row r="108" spans="1:16" ht="31.5">
      <c r="A108" s="14" t="s">
        <v>25</v>
      </c>
      <c r="B108" s="63" t="s">
        <v>38</v>
      </c>
      <c r="C108" s="63" t="s">
        <v>11</v>
      </c>
      <c r="D108" s="63">
        <v>14</v>
      </c>
      <c r="E108" s="63" t="s">
        <v>26</v>
      </c>
      <c r="F108" s="98"/>
      <c r="G108" s="98"/>
      <c r="H108" s="98"/>
      <c r="I108" s="98"/>
      <c r="J108" s="62"/>
      <c r="K108" s="62"/>
      <c r="L108" s="62"/>
      <c r="M108" s="15">
        <f t="shared" si="15"/>
        <v>931246</v>
      </c>
      <c r="N108" s="15">
        <f t="shared" si="15"/>
        <v>135200</v>
      </c>
      <c r="O108" s="15">
        <f t="shared" si="15"/>
        <v>162367.06</v>
      </c>
      <c r="P108" s="15">
        <f t="shared" si="10"/>
        <v>17.435463883871716</v>
      </c>
    </row>
    <row r="109" spans="1:16" ht="31.5">
      <c r="A109" s="14" t="s">
        <v>54</v>
      </c>
      <c r="B109" s="63" t="s">
        <v>38</v>
      </c>
      <c r="C109" s="63" t="s">
        <v>11</v>
      </c>
      <c r="D109" s="63">
        <v>14</v>
      </c>
      <c r="E109" s="63" t="s">
        <v>26</v>
      </c>
      <c r="F109" s="98"/>
      <c r="G109" s="98"/>
      <c r="H109" s="98"/>
      <c r="I109" s="98"/>
      <c r="J109" s="62"/>
      <c r="K109" s="62"/>
      <c r="L109" s="62"/>
      <c r="M109" s="15">
        <f t="shared" si="15"/>
        <v>931246</v>
      </c>
      <c r="N109" s="15">
        <f t="shared" si="15"/>
        <v>135200</v>
      </c>
      <c r="O109" s="15">
        <f t="shared" si="15"/>
        <v>162367.06</v>
      </c>
      <c r="P109" s="15">
        <f t="shared" si="10"/>
        <v>17.435463883871716</v>
      </c>
    </row>
    <row r="110" spans="1:16" ht="15.75">
      <c r="A110" s="14" t="s">
        <v>23</v>
      </c>
      <c r="B110" s="63" t="s">
        <v>38</v>
      </c>
      <c r="C110" s="63" t="s">
        <v>11</v>
      </c>
      <c r="D110" s="63">
        <v>14</v>
      </c>
      <c r="E110" s="63" t="s">
        <v>26</v>
      </c>
      <c r="F110" s="63" t="s">
        <v>17</v>
      </c>
      <c r="G110" s="63" t="s">
        <v>0</v>
      </c>
      <c r="H110" s="63" t="s">
        <v>0</v>
      </c>
      <c r="I110" s="63" t="s">
        <v>0</v>
      </c>
      <c r="J110" s="99"/>
      <c r="K110" s="99"/>
      <c r="L110" s="99"/>
      <c r="M110" s="15">
        <f t="shared" si="15"/>
        <v>931246</v>
      </c>
      <c r="N110" s="15">
        <f t="shared" si="15"/>
        <v>135200</v>
      </c>
      <c r="O110" s="15">
        <f t="shared" si="15"/>
        <v>162367.06</v>
      </c>
      <c r="P110" s="15">
        <f t="shared" si="10"/>
        <v>17.435463883871716</v>
      </c>
    </row>
    <row r="111" spans="1:16" ht="15.75">
      <c r="A111" s="14" t="s">
        <v>24</v>
      </c>
      <c r="B111" s="63" t="s">
        <v>38</v>
      </c>
      <c r="C111" s="63" t="s">
        <v>11</v>
      </c>
      <c r="D111" s="63">
        <v>14</v>
      </c>
      <c r="E111" s="63" t="s">
        <v>26</v>
      </c>
      <c r="F111" s="63" t="s">
        <v>17</v>
      </c>
      <c r="G111" s="63" t="s">
        <v>15</v>
      </c>
      <c r="H111" s="63" t="s">
        <v>0</v>
      </c>
      <c r="I111" s="63" t="s">
        <v>0</v>
      </c>
      <c r="J111" s="99"/>
      <c r="K111" s="99"/>
      <c r="L111" s="99"/>
      <c r="M111" s="15">
        <f t="shared" si="15"/>
        <v>931246</v>
      </c>
      <c r="N111" s="15">
        <f t="shared" si="15"/>
        <v>135200</v>
      </c>
      <c r="O111" s="15">
        <f t="shared" si="15"/>
        <v>162367.06</v>
      </c>
      <c r="P111" s="15">
        <f t="shared" si="10"/>
        <v>17.435463883871716</v>
      </c>
    </row>
    <row r="112" spans="1:16" ht="31.5">
      <c r="A112" s="14" t="s">
        <v>27</v>
      </c>
      <c r="B112" s="63" t="s">
        <v>38</v>
      </c>
      <c r="C112" s="63" t="s">
        <v>11</v>
      </c>
      <c r="D112" s="63">
        <v>14</v>
      </c>
      <c r="E112" s="63" t="s">
        <v>26</v>
      </c>
      <c r="F112" s="63" t="s">
        <v>17</v>
      </c>
      <c r="G112" s="63" t="s">
        <v>15</v>
      </c>
      <c r="H112" s="63">
        <v>11260</v>
      </c>
      <c r="I112" s="63" t="s">
        <v>0</v>
      </c>
      <c r="J112" s="99"/>
      <c r="K112" s="99"/>
      <c r="L112" s="99"/>
      <c r="M112" s="15">
        <f t="shared" si="15"/>
        <v>931246</v>
      </c>
      <c r="N112" s="15">
        <f t="shared" si="15"/>
        <v>135200</v>
      </c>
      <c r="O112" s="15">
        <f t="shared" si="15"/>
        <v>162367.06</v>
      </c>
      <c r="P112" s="15">
        <f t="shared" si="10"/>
        <v>17.435463883871716</v>
      </c>
    </row>
    <row r="113" spans="1:16" ht="47.25">
      <c r="A113" s="14" t="s">
        <v>28</v>
      </c>
      <c r="B113" s="63" t="s">
        <v>38</v>
      </c>
      <c r="C113" s="63" t="s">
        <v>11</v>
      </c>
      <c r="D113" s="63">
        <v>14</v>
      </c>
      <c r="E113" s="63" t="s">
        <v>26</v>
      </c>
      <c r="F113" s="63" t="s">
        <v>17</v>
      </c>
      <c r="G113" s="63" t="s">
        <v>15</v>
      </c>
      <c r="H113" s="63">
        <v>11260</v>
      </c>
      <c r="I113" s="63" t="s">
        <v>29</v>
      </c>
      <c r="J113" s="99"/>
      <c r="K113" s="99"/>
      <c r="L113" s="62"/>
      <c r="M113" s="15">
        <f t="shared" si="15"/>
        <v>931246</v>
      </c>
      <c r="N113" s="15">
        <f t="shared" si="15"/>
        <v>135200</v>
      </c>
      <c r="O113" s="15">
        <f t="shared" si="15"/>
        <v>162367.06</v>
      </c>
      <c r="P113" s="15">
        <f t="shared" si="10"/>
        <v>17.435463883871716</v>
      </c>
    </row>
    <row r="114" spans="1:16" ht="32.25" customHeight="1">
      <c r="A114" s="104" t="s">
        <v>108</v>
      </c>
      <c r="B114" s="40" t="s">
        <v>38</v>
      </c>
      <c r="C114" s="40" t="s">
        <v>11</v>
      </c>
      <c r="D114" s="40">
        <v>14</v>
      </c>
      <c r="E114" s="40" t="s">
        <v>26</v>
      </c>
      <c r="F114" s="40" t="s">
        <v>17</v>
      </c>
      <c r="G114" s="40" t="s">
        <v>15</v>
      </c>
      <c r="H114" s="40">
        <v>11260</v>
      </c>
      <c r="I114" s="40">
        <v>414</v>
      </c>
      <c r="J114" s="12"/>
      <c r="K114" s="12"/>
      <c r="L114" s="12"/>
      <c r="M114" s="15">
        <f t="shared" si="15"/>
        <v>931246</v>
      </c>
      <c r="N114" s="15">
        <f t="shared" si="15"/>
        <v>135200</v>
      </c>
      <c r="O114" s="15">
        <f t="shared" si="15"/>
        <v>162367.06</v>
      </c>
      <c r="P114" s="15">
        <f t="shared" si="10"/>
        <v>17.435463883871716</v>
      </c>
    </row>
    <row r="115" spans="1:16" ht="15.75">
      <c r="A115" s="175" t="s">
        <v>118</v>
      </c>
      <c r="B115" s="11"/>
      <c r="C115" s="11"/>
      <c r="D115" s="11"/>
      <c r="E115" s="11"/>
      <c r="F115" s="11"/>
      <c r="G115" s="11"/>
      <c r="H115" s="11"/>
      <c r="I115" s="11"/>
      <c r="J115" s="62"/>
      <c r="K115" s="62"/>
      <c r="L115" s="12"/>
      <c r="M115" s="25">
        <f t="shared" si="15"/>
        <v>931246</v>
      </c>
      <c r="N115" s="25">
        <f t="shared" si="15"/>
        <v>135200</v>
      </c>
      <c r="O115" s="25">
        <f t="shared" si="15"/>
        <v>162367.06</v>
      </c>
      <c r="P115" s="15">
        <f t="shared" si="10"/>
        <v>17.435463883871716</v>
      </c>
    </row>
    <row r="116" spans="1:16" ht="31.5">
      <c r="A116" s="10" t="s">
        <v>159</v>
      </c>
      <c r="B116" s="11" t="s">
        <v>38</v>
      </c>
      <c r="C116" s="11" t="s">
        <v>11</v>
      </c>
      <c r="D116" s="11">
        <v>14</v>
      </c>
      <c r="E116" s="11" t="s">
        <v>26</v>
      </c>
      <c r="F116" s="11" t="s">
        <v>17</v>
      </c>
      <c r="G116" s="11" t="s">
        <v>15</v>
      </c>
      <c r="H116" s="11">
        <v>11260</v>
      </c>
      <c r="I116" s="11">
        <v>414</v>
      </c>
      <c r="J116" s="62" t="s">
        <v>132</v>
      </c>
      <c r="K116" s="62">
        <v>59.6</v>
      </c>
      <c r="L116" s="12">
        <v>2017</v>
      </c>
      <c r="M116" s="24">
        <v>931246</v>
      </c>
      <c r="N116" s="24">
        <v>135200</v>
      </c>
      <c r="O116" s="24">
        <v>162367.06</v>
      </c>
      <c r="P116" s="29">
        <f t="shared" si="10"/>
        <v>17.435463883871716</v>
      </c>
    </row>
    <row r="117" spans="1:16" ht="21" customHeight="1">
      <c r="A117" s="14" t="s">
        <v>41</v>
      </c>
      <c r="B117" s="63" t="s">
        <v>38</v>
      </c>
      <c r="C117" s="63" t="s">
        <v>12</v>
      </c>
      <c r="D117" s="63"/>
      <c r="E117" s="98" t="s">
        <v>0</v>
      </c>
      <c r="F117" s="98" t="s">
        <v>0</v>
      </c>
      <c r="G117" s="98" t="s">
        <v>0</v>
      </c>
      <c r="H117" s="98" t="s">
        <v>0</v>
      </c>
      <c r="I117" s="98" t="s">
        <v>0</v>
      </c>
      <c r="J117" s="62"/>
      <c r="K117" s="62"/>
      <c r="L117" s="62"/>
      <c r="M117" s="23">
        <f>M119</f>
        <v>343072223.71000004</v>
      </c>
      <c r="N117" s="23">
        <f>N119</f>
        <v>129996627.29999998</v>
      </c>
      <c r="O117" s="23">
        <f>O119</f>
        <v>129905510.11999999</v>
      </c>
      <c r="P117" s="15">
        <f t="shared" si="10"/>
        <v>37.86535345683056</v>
      </c>
    </row>
    <row r="118" spans="1:16" ht="47.25">
      <c r="A118" s="14" t="s">
        <v>103</v>
      </c>
      <c r="B118" s="63" t="s">
        <v>38</v>
      </c>
      <c r="C118" s="63" t="s">
        <v>12</v>
      </c>
      <c r="D118" s="63">
        <v>21</v>
      </c>
      <c r="E118" s="98"/>
      <c r="F118" s="98"/>
      <c r="G118" s="98"/>
      <c r="H118" s="98"/>
      <c r="I118" s="98"/>
      <c r="J118" s="62"/>
      <c r="K118" s="62"/>
      <c r="L118" s="62"/>
      <c r="M118" s="23">
        <f aca="true" t="shared" si="16" ref="M118:O121">M119</f>
        <v>343072223.71000004</v>
      </c>
      <c r="N118" s="23">
        <f t="shared" si="16"/>
        <v>129996627.29999998</v>
      </c>
      <c r="O118" s="23">
        <f t="shared" si="16"/>
        <v>129905510.11999999</v>
      </c>
      <c r="P118" s="15">
        <f t="shared" si="10"/>
        <v>37.86535345683056</v>
      </c>
    </row>
    <row r="119" spans="1:16" ht="31.5" customHeight="1">
      <c r="A119" s="14" t="s">
        <v>25</v>
      </c>
      <c r="B119" s="63" t="s">
        <v>38</v>
      </c>
      <c r="C119" s="63" t="s">
        <v>12</v>
      </c>
      <c r="D119" s="63">
        <v>21</v>
      </c>
      <c r="E119" s="63" t="s">
        <v>26</v>
      </c>
      <c r="F119" s="98"/>
      <c r="G119" s="98"/>
      <c r="H119" s="98"/>
      <c r="I119" s="98"/>
      <c r="J119" s="62"/>
      <c r="K119" s="62"/>
      <c r="L119" s="62"/>
      <c r="M119" s="15">
        <f t="shared" si="16"/>
        <v>343072223.71000004</v>
      </c>
      <c r="N119" s="15">
        <f t="shared" si="16"/>
        <v>129996627.29999998</v>
      </c>
      <c r="O119" s="15">
        <f t="shared" si="16"/>
        <v>129905510.11999999</v>
      </c>
      <c r="P119" s="15">
        <f t="shared" si="10"/>
        <v>37.86535345683056</v>
      </c>
    </row>
    <row r="120" spans="1:16" ht="31.5">
      <c r="A120" s="14" t="s">
        <v>67</v>
      </c>
      <c r="B120" s="63" t="s">
        <v>38</v>
      </c>
      <c r="C120" s="63" t="s">
        <v>12</v>
      </c>
      <c r="D120" s="63">
        <v>21</v>
      </c>
      <c r="E120" s="63" t="s">
        <v>26</v>
      </c>
      <c r="F120" s="98"/>
      <c r="G120" s="98"/>
      <c r="H120" s="98"/>
      <c r="I120" s="98"/>
      <c r="J120" s="62"/>
      <c r="K120" s="62"/>
      <c r="L120" s="62"/>
      <c r="M120" s="15">
        <f t="shared" si="16"/>
        <v>343072223.71000004</v>
      </c>
      <c r="N120" s="15">
        <f t="shared" si="16"/>
        <v>129996627.29999998</v>
      </c>
      <c r="O120" s="15">
        <f t="shared" si="16"/>
        <v>129905510.11999999</v>
      </c>
      <c r="P120" s="15">
        <f t="shared" si="10"/>
        <v>37.86535345683056</v>
      </c>
    </row>
    <row r="121" spans="1:16" ht="15.75">
      <c r="A121" s="14" t="s">
        <v>18</v>
      </c>
      <c r="B121" s="63" t="s">
        <v>38</v>
      </c>
      <c r="C121" s="63" t="s">
        <v>12</v>
      </c>
      <c r="D121" s="63">
        <v>21</v>
      </c>
      <c r="E121" s="63" t="s">
        <v>26</v>
      </c>
      <c r="F121" s="63" t="s">
        <v>16</v>
      </c>
      <c r="G121" s="63" t="s">
        <v>0</v>
      </c>
      <c r="H121" s="63" t="s">
        <v>0</v>
      </c>
      <c r="I121" s="63" t="s">
        <v>0</v>
      </c>
      <c r="J121" s="99"/>
      <c r="K121" s="99"/>
      <c r="L121" s="99"/>
      <c r="M121" s="15">
        <f t="shared" si="16"/>
        <v>343072223.71000004</v>
      </c>
      <c r="N121" s="15">
        <f t="shared" si="16"/>
        <v>129996627.29999998</v>
      </c>
      <c r="O121" s="15">
        <f t="shared" si="16"/>
        <v>129905510.11999999</v>
      </c>
      <c r="P121" s="15">
        <f t="shared" si="10"/>
        <v>37.86535345683056</v>
      </c>
    </row>
    <row r="122" spans="1:16" ht="20.25" customHeight="1">
      <c r="A122" s="14" t="s">
        <v>42</v>
      </c>
      <c r="B122" s="63" t="s">
        <v>38</v>
      </c>
      <c r="C122" s="63" t="s">
        <v>12</v>
      </c>
      <c r="D122" s="63">
        <v>21</v>
      </c>
      <c r="E122" s="63" t="s">
        <v>26</v>
      </c>
      <c r="F122" s="63" t="s">
        <v>16</v>
      </c>
      <c r="G122" s="63" t="s">
        <v>22</v>
      </c>
      <c r="H122" s="63" t="s">
        <v>0</v>
      </c>
      <c r="I122" s="63" t="s">
        <v>0</v>
      </c>
      <c r="J122" s="99"/>
      <c r="K122" s="99"/>
      <c r="L122" s="99"/>
      <c r="M122" s="15">
        <f>M123+M124</f>
        <v>343072223.71000004</v>
      </c>
      <c r="N122" s="15">
        <f>N123+N124</f>
        <v>129996627.29999998</v>
      </c>
      <c r="O122" s="15">
        <f>O123+O124</f>
        <v>129905510.11999999</v>
      </c>
      <c r="P122" s="15">
        <f t="shared" si="10"/>
        <v>37.86535345683056</v>
      </c>
    </row>
    <row r="123" spans="1:16" ht="31.5">
      <c r="A123" s="14" t="s">
        <v>43</v>
      </c>
      <c r="B123" s="63" t="s">
        <v>38</v>
      </c>
      <c r="C123" s="63" t="s">
        <v>12</v>
      </c>
      <c r="D123" s="63">
        <v>21</v>
      </c>
      <c r="E123" s="63" t="s">
        <v>26</v>
      </c>
      <c r="F123" s="63" t="s">
        <v>16</v>
      </c>
      <c r="G123" s="63" t="s">
        <v>22</v>
      </c>
      <c r="H123" s="63">
        <v>16140</v>
      </c>
      <c r="I123" s="63" t="s">
        <v>0</v>
      </c>
      <c r="J123" s="99"/>
      <c r="K123" s="99"/>
      <c r="L123" s="99"/>
      <c r="M123" s="15">
        <f aca="true" t="shared" si="17" ref="M123:O124">M125</f>
        <v>206788314.71</v>
      </c>
      <c r="N123" s="15">
        <f t="shared" si="17"/>
        <v>72208945.13999999</v>
      </c>
      <c r="O123" s="15">
        <f t="shared" si="17"/>
        <v>72117827.96</v>
      </c>
      <c r="P123" s="15">
        <f t="shared" si="10"/>
        <v>34.875194984367496</v>
      </c>
    </row>
    <row r="124" spans="1:17" ht="15.75">
      <c r="A124" s="14" t="s">
        <v>374</v>
      </c>
      <c r="B124" s="63" t="s">
        <v>38</v>
      </c>
      <c r="C124" s="63" t="s">
        <v>12</v>
      </c>
      <c r="D124" s="63">
        <v>21</v>
      </c>
      <c r="E124" s="63" t="s">
        <v>26</v>
      </c>
      <c r="F124" s="63" t="s">
        <v>16</v>
      </c>
      <c r="G124" s="63" t="s">
        <v>22</v>
      </c>
      <c r="H124" s="63">
        <v>53900</v>
      </c>
      <c r="I124" s="63" t="s">
        <v>0</v>
      </c>
      <c r="J124" s="99"/>
      <c r="K124" s="99"/>
      <c r="L124" s="99"/>
      <c r="M124" s="15">
        <f t="shared" si="17"/>
        <v>136283909</v>
      </c>
      <c r="N124" s="15">
        <f t="shared" si="17"/>
        <v>57787682.16</v>
      </c>
      <c r="O124" s="15">
        <f t="shared" si="17"/>
        <v>57787682.16</v>
      </c>
      <c r="P124" s="15">
        <f t="shared" si="10"/>
        <v>42.402424896691215</v>
      </c>
      <c r="Q124" s="13"/>
    </row>
    <row r="125" spans="1:17" ht="24.75" customHeight="1">
      <c r="A125" s="125" t="s">
        <v>28</v>
      </c>
      <c r="B125" s="63" t="s">
        <v>38</v>
      </c>
      <c r="C125" s="63" t="s">
        <v>12</v>
      </c>
      <c r="D125" s="63">
        <v>21</v>
      </c>
      <c r="E125" s="63" t="s">
        <v>26</v>
      </c>
      <c r="F125" s="63" t="s">
        <v>16</v>
      </c>
      <c r="G125" s="63" t="s">
        <v>22</v>
      </c>
      <c r="H125" s="63">
        <v>16140</v>
      </c>
      <c r="I125" s="63" t="s">
        <v>29</v>
      </c>
      <c r="J125" s="99"/>
      <c r="K125" s="99"/>
      <c r="L125" s="99"/>
      <c r="M125" s="15">
        <f>M128+M130+M132+M146+M147+M149+M151+M153+M154</f>
        <v>206788314.71</v>
      </c>
      <c r="N125" s="15">
        <f>N128+N130+N132+N146+N147+N149+N151+N153+N154</f>
        <v>72208945.13999999</v>
      </c>
      <c r="O125" s="15">
        <f>O128+O130+O132+O146+O147+O149+O151+O153+O154</f>
        <v>72117827.96</v>
      </c>
      <c r="P125" s="15">
        <f t="shared" si="10"/>
        <v>34.875194984367496</v>
      </c>
      <c r="Q125" s="16"/>
    </row>
    <row r="126" spans="1:17" ht="24.75" customHeight="1">
      <c r="A126" s="127"/>
      <c r="B126" s="63" t="s">
        <v>38</v>
      </c>
      <c r="C126" s="63" t="s">
        <v>12</v>
      </c>
      <c r="D126" s="63">
        <v>21</v>
      </c>
      <c r="E126" s="63" t="s">
        <v>26</v>
      </c>
      <c r="F126" s="63" t="s">
        <v>16</v>
      </c>
      <c r="G126" s="63" t="s">
        <v>22</v>
      </c>
      <c r="H126" s="63">
        <v>53900</v>
      </c>
      <c r="I126" s="63" t="s">
        <v>29</v>
      </c>
      <c r="J126" s="99"/>
      <c r="K126" s="99"/>
      <c r="L126" s="99"/>
      <c r="M126" s="15">
        <f>M136</f>
        <v>136283909</v>
      </c>
      <c r="N126" s="15">
        <f>N136</f>
        <v>57787682.16</v>
      </c>
      <c r="O126" s="15">
        <f>O136</f>
        <v>57787682.16</v>
      </c>
      <c r="P126" s="15">
        <f t="shared" si="10"/>
        <v>42.402424896691215</v>
      </c>
      <c r="Q126" s="16"/>
    </row>
    <row r="127" spans="1:17" ht="17.25" customHeight="1">
      <c r="A127" s="44" t="s">
        <v>79</v>
      </c>
      <c r="B127" s="63"/>
      <c r="C127" s="63"/>
      <c r="D127" s="63"/>
      <c r="E127" s="63"/>
      <c r="F127" s="63"/>
      <c r="G127" s="63"/>
      <c r="H127" s="63"/>
      <c r="I127" s="63"/>
      <c r="J127" s="99"/>
      <c r="K127" s="99"/>
      <c r="L127" s="99"/>
      <c r="M127" s="15">
        <f>M128</f>
        <v>106000</v>
      </c>
      <c r="N127" s="15">
        <f>N128</f>
        <v>0</v>
      </c>
      <c r="O127" s="15">
        <f>O128</f>
        <v>0</v>
      </c>
      <c r="P127" s="15">
        <f t="shared" si="10"/>
        <v>0</v>
      </c>
      <c r="Q127" s="13"/>
    </row>
    <row r="128" spans="1:17" ht="35.25" customHeight="1">
      <c r="A128" s="93" t="s">
        <v>303</v>
      </c>
      <c r="B128" s="67">
        <v>19</v>
      </c>
      <c r="C128" s="67">
        <v>3</v>
      </c>
      <c r="D128" s="67">
        <v>21</v>
      </c>
      <c r="E128" s="67">
        <v>819</v>
      </c>
      <c r="F128" s="67" t="s">
        <v>16</v>
      </c>
      <c r="G128" s="67" t="s">
        <v>22</v>
      </c>
      <c r="H128" s="67" t="s">
        <v>164</v>
      </c>
      <c r="I128" s="67" t="s">
        <v>29</v>
      </c>
      <c r="J128" s="62" t="s">
        <v>58</v>
      </c>
      <c r="K128" s="99"/>
      <c r="L128" s="99"/>
      <c r="M128" s="29">
        <v>106000</v>
      </c>
      <c r="N128" s="29">
        <v>0</v>
      </c>
      <c r="O128" s="29">
        <v>0</v>
      </c>
      <c r="P128" s="29">
        <f t="shared" si="10"/>
        <v>0</v>
      </c>
      <c r="Q128" s="13"/>
    </row>
    <row r="129" spans="1:17" ht="15.75">
      <c r="A129" s="44" t="s">
        <v>56</v>
      </c>
      <c r="B129" s="63"/>
      <c r="C129" s="63"/>
      <c r="D129" s="63"/>
      <c r="E129" s="63"/>
      <c r="F129" s="63"/>
      <c r="G129" s="63"/>
      <c r="H129" s="63"/>
      <c r="I129" s="63"/>
      <c r="J129" s="62"/>
      <c r="K129" s="62"/>
      <c r="L129" s="62"/>
      <c r="M129" s="23">
        <f>M130</f>
        <v>410000</v>
      </c>
      <c r="N129" s="23">
        <f>N130</f>
        <v>0</v>
      </c>
      <c r="O129" s="23">
        <f>O130</f>
        <v>0</v>
      </c>
      <c r="P129" s="15">
        <f t="shared" si="10"/>
        <v>0</v>
      </c>
      <c r="Q129" s="13"/>
    </row>
    <row r="130" spans="1:17" ht="31.5">
      <c r="A130" s="10" t="s">
        <v>165</v>
      </c>
      <c r="B130" s="67">
        <v>19</v>
      </c>
      <c r="C130" s="67">
        <v>3</v>
      </c>
      <c r="D130" s="67">
        <v>21</v>
      </c>
      <c r="E130" s="67">
        <v>819</v>
      </c>
      <c r="F130" s="67" t="s">
        <v>16</v>
      </c>
      <c r="G130" s="67" t="s">
        <v>22</v>
      </c>
      <c r="H130" s="67" t="s">
        <v>164</v>
      </c>
      <c r="I130" s="67" t="s">
        <v>29</v>
      </c>
      <c r="J130" s="62" t="s">
        <v>58</v>
      </c>
      <c r="K130" s="62">
        <v>2.25</v>
      </c>
      <c r="L130" s="62">
        <v>2018</v>
      </c>
      <c r="M130" s="29">
        <f>200000+210000</f>
        <v>410000</v>
      </c>
      <c r="N130" s="29">
        <v>0</v>
      </c>
      <c r="O130" s="29">
        <v>0</v>
      </c>
      <c r="P130" s="29">
        <f t="shared" si="10"/>
        <v>0</v>
      </c>
      <c r="Q130" s="13"/>
    </row>
    <row r="131" spans="1:17" ht="15.75" customHeight="1">
      <c r="A131" s="44" t="s">
        <v>72</v>
      </c>
      <c r="B131" s="67"/>
      <c r="C131" s="67"/>
      <c r="D131" s="67"/>
      <c r="E131" s="67"/>
      <c r="F131" s="67"/>
      <c r="G131" s="67"/>
      <c r="H131" s="67"/>
      <c r="I131" s="67"/>
      <c r="J131" s="62"/>
      <c r="K131" s="62"/>
      <c r="L131" s="62"/>
      <c r="M131" s="23">
        <f>M132+M136+M146+M147</f>
        <v>340513223.71000004</v>
      </c>
      <c r="N131" s="23">
        <f>N132+N136+N146+N147</f>
        <v>129321797.1</v>
      </c>
      <c r="O131" s="23">
        <f>O132+O136+O146+O147</f>
        <v>129230679.92</v>
      </c>
      <c r="P131" s="15">
        <f t="shared" si="10"/>
        <v>37.95173606240327</v>
      </c>
      <c r="Q131" s="13"/>
    </row>
    <row r="132" spans="1:17" ht="47.25">
      <c r="A132" s="10" t="s">
        <v>112</v>
      </c>
      <c r="B132" s="67">
        <v>19</v>
      </c>
      <c r="C132" s="67">
        <v>3</v>
      </c>
      <c r="D132" s="67">
        <v>21</v>
      </c>
      <c r="E132" s="67">
        <v>819</v>
      </c>
      <c r="F132" s="67" t="s">
        <v>16</v>
      </c>
      <c r="G132" s="67" t="s">
        <v>22</v>
      </c>
      <c r="H132" s="67" t="s">
        <v>164</v>
      </c>
      <c r="I132" s="67" t="s">
        <v>29</v>
      </c>
      <c r="J132" s="62" t="s">
        <v>58</v>
      </c>
      <c r="K132" s="62">
        <v>1.817</v>
      </c>
      <c r="L132" s="62">
        <v>2017</v>
      </c>
      <c r="M132" s="29">
        <v>174382495.71</v>
      </c>
      <c r="N132" s="29">
        <v>52707078.38</v>
      </c>
      <c r="O132" s="29">
        <v>52615961.2</v>
      </c>
      <c r="P132" s="29">
        <f t="shared" si="10"/>
        <v>30.17273091876201</v>
      </c>
      <c r="Q132" s="13"/>
    </row>
    <row r="133" spans="1:17" ht="15.75" hidden="1">
      <c r="A133" s="78" t="s">
        <v>49</v>
      </c>
      <c r="B133" s="67"/>
      <c r="C133" s="67"/>
      <c r="D133" s="67"/>
      <c r="E133" s="11"/>
      <c r="F133" s="11"/>
      <c r="G133" s="11"/>
      <c r="H133" s="11"/>
      <c r="I133" s="11"/>
      <c r="J133" s="42"/>
      <c r="K133" s="42"/>
      <c r="L133" s="42"/>
      <c r="M133" s="30"/>
      <c r="N133" s="30"/>
      <c r="O133" s="30"/>
      <c r="P133" s="29" t="e">
        <f t="shared" si="10"/>
        <v>#DIV/0!</v>
      </c>
      <c r="Q133" s="13"/>
    </row>
    <row r="134" spans="1:17" ht="15.75" hidden="1">
      <c r="A134" s="78" t="s">
        <v>345</v>
      </c>
      <c r="B134" s="67"/>
      <c r="C134" s="67"/>
      <c r="D134" s="67"/>
      <c r="E134" s="11"/>
      <c r="F134" s="11"/>
      <c r="G134" s="11"/>
      <c r="H134" s="11"/>
      <c r="I134" s="11"/>
      <c r="J134" s="42"/>
      <c r="K134" s="42"/>
      <c r="L134" s="42"/>
      <c r="M134" s="30"/>
      <c r="N134" s="30"/>
      <c r="O134" s="30"/>
      <c r="P134" s="29" t="e">
        <f t="shared" si="10"/>
        <v>#DIV/0!</v>
      </c>
      <c r="Q134" s="13"/>
    </row>
    <row r="135" spans="1:17" ht="15.75" hidden="1">
      <c r="A135" s="78" t="s">
        <v>346</v>
      </c>
      <c r="B135" s="67"/>
      <c r="C135" s="67"/>
      <c r="D135" s="67"/>
      <c r="E135" s="11"/>
      <c r="F135" s="11"/>
      <c r="G135" s="11"/>
      <c r="H135" s="11"/>
      <c r="I135" s="11"/>
      <c r="J135" s="42"/>
      <c r="K135" s="42"/>
      <c r="L135" s="42"/>
      <c r="M135" s="30">
        <v>165212755.71</v>
      </c>
      <c r="N135" s="30"/>
      <c r="O135" s="30">
        <v>165212755.71</v>
      </c>
      <c r="P135" s="29">
        <f t="shared" si="10"/>
        <v>100</v>
      </c>
      <c r="Q135" s="13"/>
    </row>
    <row r="136" spans="1:17" ht="47.25">
      <c r="A136" s="10" t="s">
        <v>112</v>
      </c>
      <c r="B136" s="67">
        <v>19</v>
      </c>
      <c r="C136" s="67">
        <v>3</v>
      </c>
      <c r="D136" s="67">
        <v>21</v>
      </c>
      <c r="E136" s="67">
        <v>819</v>
      </c>
      <c r="F136" s="67" t="s">
        <v>16</v>
      </c>
      <c r="G136" s="67" t="s">
        <v>22</v>
      </c>
      <c r="H136" s="67">
        <v>53900</v>
      </c>
      <c r="I136" s="67" t="s">
        <v>29</v>
      </c>
      <c r="J136" s="62" t="s">
        <v>58</v>
      </c>
      <c r="K136" s="62">
        <v>1.817</v>
      </c>
      <c r="L136" s="62">
        <v>2017</v>
      </c>
      <c r="M136" s="29">
        <f>M138</f>
        <v>136283909</v>
      </c>
      <c r="N136" s="29">
        <f>N138</f>
        <v>57787682.16</v>
      </c>
      <c r="O136" s="29">
        <f>O138</f>
        <v>57787682.16</v>
      </c>
      <c r="P136" s="29">
        <f t="shared" si="10"/>
        <v>42.402424896691215</v>
      </c>
      <c r="Q136" s="13"/>
    </row>
    <row r="137" spans="1:17" ht="15.75">
      <c r="A137" s="78" t="s">
        <v>49</v>
      </c>
      <c r="B137" s="67"/>
      <c r="C137" s="67"/>
      <c r="D137" s="67"/>
      <c r="E137" s="11"/>
      <c r="F137" s="11"/>
      <c r="G137" s="11"/>
      <c r="H137" s="11"/>
      <c r="I137" s="11"/>
      <c r="J137" s="42"/>
      <c r="K137" s="42"/>
      <c r="L137" s="42"/>
      <c r="M137" s="30"/>
      <c r="N137" s="30"/>
      <c r="O137" s="30"/>
      <c r="P137" s="29"/>
      <c r="Q137" s="13"/>
    </row>
    <row r="138" spans="1:17" ht="15.75">
      <c r="A138" s="78" t="s">
        <v>345</v>
      </c>
      <c r="B138" s="67"/>
      <c r="C138" s="67"/>
      <c r="D138" s="67"/>
      <c r="E138" s="11"/>
      <c r="F138" s="11"/>
      <c r="G138" s="11"/>
      <c r="H138" s="11"/>
      <c r="I138" s="11"/>
      <c r="J138" s="42"/>
      <c r="K138" s="42"/>
      <c r="L138" s="42"/>
      <c r="M138" s="30">
        <v>136283909</v>
      </c>
      <c r="N138" s="30">
        <v>57787682.16</v>
      </c>
      <c r="O138" s="30">
        <v>57787682.16</v>
      </c>
      <c r="P138" s="29">
        <f t="shared" si="10"/>
        <v>42.402424896691215</v>
      </c>
      <c r="Q138" s="13"/>
    </row>
    <row r="139" spans="1:16" ht="50.25" customHeight="1" hidden="1">
      <c r="A139" s="90"/>
      <c r="B139" s="63"/>
      <c r="C139" s="63"/>
      <c r="D139" s="63"/>
      <c r="E139" s="63"/>
      <c r="F139" s="63"/>
      <c r="G139" s="63"/>
      <c r="H139" s="63"/>
      <c r="I139" s="63"/>
      <c r="J139" s="99"/>
      <c r="K139" s="99"/>
      <c r="L139" s="99"/>
      <c r="M139" s="15"/>
      <c r="N139" s="15"/>
      <c r="O139" s="15"/>
      <c r="P139" s="29" t="e">
        <f aca="true" t="shared" si="18" ref="P139:P215">O139/M139*100</f>
        <v>#DIV/0!</v>
      </c>
    </row>
    <row r="140" spans="1:16" ht="17.25" customHeight="1" hidden="1">
      <c r="A140" s="44"/>
      <c r="B140" s="63"/>
      <c r="C140" s="63"/>
      <c r="D140" s="63"/>
      <c r="E140" s="63"/>
      <c r="F140" s="63"/>
      <c r="G140" s="63"/>
      <c r="H140" s="63"/>
      <c r="I140" s="63"/>
      <c r="J140" s="99"/>
      <c r="K140" s="99"/>
      <c r="L140" s="99"/>
      <c r="M140" s="15"/>
      <c r="N140" s="15"/>
      <c r="O140" s="15"/>
      <c r="P140" s="29" t="e">
        <f t="shared" si="18"/>
        <v>#DIV/0!</v>
      </c>
    </row>
    <row r="141" spans="1:16" ht="35.25" customHeight="1" hidden="1">
      <c r="A141" s="93"/>
      <c r="B141" s="67"/>
      <c r="C141" s="67"/>
      <c r="D141" s="67"/>
      <c r="E141" s="67"/>
      <c r="F141" s="67"/>
      <c r="G141" s="67"/>
      <c r="H141" s="67"/>
      <c r="I141" s="67"/>
      <c r="J141" s="62"/>
      <c r="K141" s="99"/>
      <c r="L141" s="99"/>
      <c r="M141" s="29"/>
      <c r="N141" s="29"/>
      <c r="O141" s="29"/>
      <c r="P141" s="29" t="e">
        <f t="shared" si="18"/>
        <v>#DIV/0!</v>
      </c>
    </row>
    <row r="142" spans="1:16" ht="15.75" hidden="1">
      <c r="A142" s="44"/>
      <c r="B142" s="63"/>
      <c r="C142" s="63"/>
      <c r="D142" s="63"/>
      <c r="E142" s="63"/>
      <c r="F142" s="63"/>
      <c r="G142" s="63"/>
      <c r="H142" s="63"/>
      <c r="I142" s="63"/>
      <c r="J142" s="62"/>
      <c r="K142" s="62"/>
      <c r="L142" s="62"/>
      <c r="M142" s="23"/>
      <c r="N142" s="23"/>
      <c r="O142" s="23"/>
      <c r="P142" s="29" t="e">
        <f t="shared" si="18"/>
        <v>#DIV/0!</v>
      </c>
    </row>
    <row r="143" spans="1:16" ht="15.75" hidden="1">
      <c r="A143" s="10"/>
      <c r="B143" s="67"/>
      <c r="C143" s="67"/>
      <c r="D143" s="67"/>
      <c r="E143" s="67"/>
      <c r="F143" s="67"/>
      <c r="G143" s="67"/>
      <c r="H143" s="67"/>
      <c r="I143" s="67"/>
      <c r="J143" s="62"/>
      <c r="K143" s="62"/>
      <c r="L143" s="62"/>
      <c r="M143" s="29"/>
      <c r="N143" s="29"/>
      <c r="O143" s="29"/>
      <c r="P143" s="29" t="e">
        <f t="shared" si="18"/>
        <v>#DIV/0!</v>
      </c>
    </row>
    <row r="144" spans="1:16" ht="26.25" customHeight="1" hidden="1">
      <c r="A144" s="44"/>
      <c r="B144" s="67"/>
      <c r="C144" s="67"/>
      <c r="D144" s="67"/>
      <c r="E144" s="67"/>
      <c r="F144" s="67"/>
      <c r="G144" s="67"/>
      <c r="H144" s="67"/>
      <c r="I144" s="67"/>
      <c r="J144" s="62"/>
      <c r="K144" s="62"/>
      <c r="L144" s="62"/>
      <c r="M144" s="23"/>
      <c r="N144" s="23"/>
      <c r="O144" s="23"/>
      <c r="P144" s="29" t="e">
        <f t="shared" si="18"/>
        <v>#DIV/0!</v>
      </c>
    </row>
    <row r="145" spans="1:16" ht="15.75" hidden="1">
      <c r="A145" s="10"/>
      <c r="B145" s="67"/>
      <c r="C145" s="67"/>
      <c r="D145" s="67"/>
      <c r="E145" s="67"/>
      <c r="F145" s="67"/>
      <c r="G145" s="67"/>
      <c r="H145" s="67"/>
      <c r="I145" s="67"/>
      <c r="J145" s="62"/>
      <c r="K145" s="62"/>
      <c r="L145" s="62"/>
      <c r="M145" s="29"/>
      <c r="N145" s="29"/>
      <c r="O145" s="29"/>
      <c r="P145" s="29" t="e">
        <f t="shared" si="18"/>
        <v>#DIV/0!</v>
      </c>
    </row>
    <row r="146" spans="1:16" ht="31.5">
      <c r="A146" s="10" t="s">
        <v>166</v>
      </c>
      <c r="B146" s="67">
        <v>19</v>
      </c>
      <c r="C146" s="67">
        <v>3</v>
      </c>
      <c r="D146" s="67">
        <v>21</v>
      </c>
      <c r="E146" s="67">
        <v>819</v>
      </c>
      <c r="F146" s="67" t="s">
        <v>16</v>
      </c>
      <c r="G146" s="67" t="s">
        <v>22</v>
      </c>
      <c r="H146" s="67" t="s">
        <v>164</v>
      </c>
      <c r="I146" s="67" t="s">
        <v>29</v>
      </c>
      <c r="J146" s="62" t="s">
        <v>58</v>
      </c>
      <c r="K146" s="62">
        <v>1.979</v>
      </c>
      <c r="L146" s="62">
        <v>2017</v>
      </c>
      <c r="M146" s="29">
        <v>29251819</v>
      </c>
      <c r="N146" s="29">
        <v>18827036.56</v>
      </c>
      <c r="O146" s="29">
        <v>18827036.56</v>
      </c>
      <c r="P146" s="29">
        <f t="shared" si="18"/>
        <v>64.36193441508713</v>
      </c>
    </row>
    <row r="147" spans="1:16" ht="31.5">
      <c r="A147" s="10" t="s">
        <v>304</v>
      </c>
      <c r="B147" s="67">
        <v>19</v>
      </c>
      <c r="C147" s="67">
        <v>3</v>
      </c>
      <c r="D147" s="67">
        <v>21</v>
      </c>
      <c r="E147" s="67">
        <v>819</v>
      </c>
      <c r="F147" s="67" t="s">
        <v>16</v>
      </c>
      <c r="G147" s="67" t="s">
        <v>22</v>
      </c>
      <c r="H147" s="67" t="s">
        <v>164</v>
      </c>
      <c r="I147" s="67" t="s">
        <v>29</v>
      </c>
      <c r="J147" s="62" t="s">
        <v>58</v>
      </c>
      <c r="K147" s="62">
        <v>4.42</v>
      </c>
      <c r="L147" s="62">
        <v>2018</v>
      </c>
      <c r="M147" s="29">
        <v>595000</v>
      </c>
      <c r="N147" s="29">
        <v>0</v>
      </c>
      <c r="O147" s="29">
        <v>0</v>
      </c>
      <c r="P147" s="29">
        <f t="shared" si="18"/>
        <v>0</v>
      </c>
    </row>
    <row r="148" spans="1:16" ht="15.75">
      <c r="A148" s="176" t="s">
        <v>96</v>
      </c>
      <c r="B148" s="67"/>
      <c r="C148" s="67"/>
      <c r="D148" s="67"/>
      <c r="E148" s="67"/>
      <c r="F148" s="67"/>
      <c r="G148" s="67"/>
      <c r="H148" s="67"/>
      <c r="I148" s="67"/>
      <c r="J148" s="12"/>
      <c r="K148" s="12"/>
      <c r="L148" s="12"/>
      <c r="M148" s="28">
        <f>M149</f>
        <v>1926000</v>
      </c>
      <c r="N148" s="28">
        <f>N149</f>
        <v>599000</v>
      </c>
      <c r="O148" s="28">
        <f>O149</f>
        <v>599000</v>
      </c>
      <c r="P148" s="15">
        <f t="shared" si="18"/>
        <v>31.10072689511942</v>
      </c>
    </row>
    <row r="149" spans="1:16" ht="47.25">
      <c r="A149" s="10" t="s">
        <v>322</v>
      </c>
      <c r="B149" s="67" t="s">
        <v>38</v>
      </c>
      <c r="C149" s="67" t="s">
        <v>12</v>
      </c>
      <c r="D149" s="67">
        <v>21</v>
      </c>
      <c r="E149" s="67" t="s">
        <v>26</v>
      </c>
      <c r="F149" s="67" t="s">
        <v>16</v>
      </c>
      <c r="G149" s="67" t="s">
        <v>22</v>
      </c>
      <c r="H149" s="67">
        <v>16140</v>
      </c>
      <c r="I149" s="67" t="s">
        <v>29</v>
      </c>
      <c r="J149" s="12" t="s">
        <v>58</v>
      </c>
      <c r="K149" s="92">
        <v>5</v>
      </c>
      <c r="L149" s="12">
        <v>2018</v>
      </c>
      <c r="M149" s="30">
        <v>1926000</v>
      </c>
      <c r="N149" s="30">
        <v>599000</v>
      </c>
      <c r="O149" s="30">
        <v>599000</v>
      </c>
      <c r="P149" s="29">
        <f t="shared" si="18"/>
        <v>31.10072689511942</v>
      </c>
    </row>
    <row r="150" spans="1:16" ht="15.75">
      <c r="A150" s="176" t="s">
        <v>86</v>
      </c>
      <c r="B150" s="67"/>
      <c r="C150" s="67"/>
      <c r="D150" s="67"/>
      <c r="E150" s="67"/>
      <c r="F150" s="67"/>
      <c r="G150" s="67"/>
      <c r="H150" s="67"/>
      <c r="I150" s="67"/>
      <c r="J150" s="12"/>
      <c r="K150" s="92"/>
      <c r="L150" s="12"/>
      <c r="M150" s="28">
        <f>M151</f>
        <v>25000</v>
      </c>
      <c r="N150" s="28">
        <f>N151</f>
        <v>0</v>
      </c>
      <c r="O150" s="28">
        <f>O151</f>
        <v>0</v>
      </c>
      <c r="P150" s="15">
        <f t="shared" si="18"/>
        <v>0</v>
      </c>
    </row>
    <row r="151" spans="1:16" ht="31.5">
      <c r="A151" s="10" t="s">
        <v>305</v>
      </c>
      <c r="B151" s="67" t="s">
        <v>38</v>
      </c>
      <c r="C151" s="67" t="s">
        <v>12</v>
      </c>
      <c r="D151" s="67">
        <v>21</v>
      </c>
      <c r="E151" s="67" t="s">
        <v>26</v>
      </c>
      <c r="F151" s="67" t="s">
        <v>16</v>
      </c>
      <c r="G151" s="67" t="s">
        <v>22</v>
      </c>
      <c r="H151" s="67">
        <v>16140</v>
      </c>
      <c r="I151" s="67" t="s">
        <v>29</v>
      </c>
      <c r="J151" s="12" t="s">
        <v>58</v>
      </c>
      <c r="K151" s="92"/>
      <c r="L151" s="12"/>
      <c r="M151" s="30">
        <v>25000</v>
      </c>
      <c r="N151" s="30">
        <v>0</v>
      </c>
      <c r="O151" s="30">
        <v>0</v>
      </c>
      <c r="P151" s="29">
        <f t="shared" si="18"/>
        <v>0</v>
      </c>
    </row>
    <row r="152" spans="1:16" ht="15.75">
      <c r="A152" s="176" t="s">
        <v>82</v>
      </c>
      <c r="B152" s="67"/>
      <c r="C152" s="67"/>
      <c r="D152" s="67"/>
      <c r="E152" s="67"/>
      <c r="F152" s="67"/>
      <c r="G152" s="67"/>
      <c r="H152" s="67"/>
      <c r="I152" s="67"/>
      <c r="J152" s="12"/>
      <c r="K152" s="92"/>
      <c r="L152" s="12"/>
      <c r="M152" s="28">
        <f>M153+M154</f>
        <v>92000</v>
      </c>
      <c r="N152" s="28">
        <f>N153+N154</f>
        <v>75830.2</v>
      </c>
      <c r="O152" s="28">
        <f>O153+O154</f>
        <v>75830.2</v>
      </c>
      <c r="P152" s="15">
        <f t="shared" si="18"/>
        <v>82.42413043478261</v>
      </c>
    </row>
    <row r="153" spans="1:16" ht="47.25">
      <c r="A153" s="10" t="s">
        <v>306</v>
      </c>
      <c r="B153" s="67" t="s">
        <v>38</v>
      </c>
      <c r="C153" s="67" t="s">
        <v>12</v>
      </c>
      <c r="D153" s="67">
        <v>21</v>
      </c>
      <c r="E153" s="67" t="s">
        <v>26</v>
      </c>
      <c r="F153" s="67" t="s">
        <v>16</v>
      </c>
      <c r="G153" s="67" t="s">
        <v>22</v>
      </c>
      <c r="H153" s="67">
        <v>16140</v>
      </c>
      <c r="I153" s="67" t="s">
        <v>29</v>
      </c>
      <c r="J153" s="12" t="s">
        <v>58</v>
      </c>
      <c r="K153" s="92"/>
      <c r="L153" s="12"/>
      <c r="M153" s="30">
        <v>37000</v>
      </c>
      <c r="N153" s="30">
        <v>25149.6</v>
      </c>
      <c r="O153" s="30">
        <v>25149.6</v>
      </c>
      <c r="P153" s="29">
        <f t="shared" si="18"/>
        <v>67.97189189189189</v>
      </c>
    </row>
    <row r="154" spans="1:16" ht="64.5" customHeight="1">
      <c r="A154" s="10" t="s">
        <v>307</v>
      </c>
      <c r="B154" s="67" t="s">
        <v>38</v>
      </c>
      <c r="C154" s="67" t="s">
        <v>12</v>
      </c>
      <c r="D154" s="67">
        <v>21</v>
      </c>
      <c r="E154" s="67" t="s">
        <v>26</v>
      </c>
      <c r="F154" s="67" t="s">
        <v>16</v>
      </c>
      <c r="G154" s="67" t="s">
        <v>22</v>
      </c>
      <c r="H154" s="67">
        <v>16140</v>
      </c>
      <c r="I154" s="67" t="s">
        <v>29</v>
      </c>
      <c r="J154" s="12" t="s">
        <v>58</v>
      </c>
      <c r="K154" s="92"/>
      <c r="L154" s="12"/>
      <c r="M154" s="30">
        <v>55000</v>
      </c>
      <c r="N154" s="30">
        <v>50680.6</v>
      </c>
      <c r="O154" s="30">
        <v>50680.6</v>
      </c>
      <c r="P154" s="29">
        <f t="shared" si="18"/>
        <v>92.14654545454545</v>
      </c>
    </row>
    <row r="155" spans="1:16" ht="31.5">
      <c r="A155" s="14" t="s">
        <v>225</v>
      </c>
      <c r="B155" s="63" t="s">
        <v>226</v>
      </c>
      <c r="C155" s="63">
        <v>0</v>
      </c>
      <c r="D155" s="63"/>
      <c r="E155" s="38" t="s">
        <v>0</v>
      </c>
      <c r="F155" s="38" t="s">
        <v>0</v>
      </c>
      <c r="G155" s="38" t="s">
        <v>0</v>
      </c>
      <c r="H155" s="38" t="s">
        <v>0</v>
      </c>
      <c r="I155" s="38" t="s">
        <v>0</v>
      </c>
      <c r="J155" s="38"/>
      <c r="K155" s="38"/>
      <c r="L155" s="98"/>
      <c r="M155" s="15">
        <f>M156+M157</f>
        <v>26977333.97</v>
      </c>
      <c r="N155" s="15">
        <f>N156+N157</f>
        <v>155420</v>
      </c>
      <c r="O155" s="15">
        <f>O156+O157</f>
        <v>387643.49</v>
      </c>
      <c r="P155" s="15">
        <f t="shared" si="18"/>
        <v>1.4369229013922462</v>
      </c>
    </row>
    <row r="156" spans="1:16" s="8" customFormat="1" ht="31.5">
      <c r="A156" s="14" t="s">
        <v>227</v>
      </c>
      <c r="B156" s="63">
        <v>21</v>
      </c>
      <c r="C156" s="63">
        <v>0</v>
      </c>
      <c r="D156" s="63">
        <v>21</v>
      </c>
      <c r="E156" s="177"/>
      <c r="F156" s="177"/>
      <c r="G156" s="177"/>
      <c r="H156" s="177"/>
      <c r="I156" s="177"/>
      <c r="J156" s="177"/>
      <c r="K156" s="177"/>
      <c r="L156" s="178"/>
      <c r="M156" s="15">
        <f>M158</f>
        <v>1582313.97</v>
      </c>
      <c r="N156" s="15">
        <f>N158</f>
        <v>0</v>
      </c>
      <c r="O156" s="15">
        <f>O158</f>
        <v>0</v>
      </c>
      <c r="P156" s="15">
        <f t="shared" si="18"/>
        <v>0</v>
      </c>
    </row>
    <row r="157" spans="1:16" ht="110.25">
      <c r="A157" s="14" t="s">
        <v>400</v>
      </c>
      <c r="B157" s="63">
        <v>21</v>
      </c>
      <c r="C157" s="63">
        <v>0</v>
      </c>
      <c r="D157" s="63">
        <v>33</v>
      </c>
      <c r="E157" s="38"/>
      <c r="F157" s="38"/>
      <c r="G157" s="38"/>
      <c r="H157" s="38"/>
      <c r="I157" s="38"/>
      <c r="J157" s="38"/>
      <c r="K157" s="38"/>
      <c r="L157" s="98"/>
      <c r="M157" s="15">
        <f aca="true" t="shared" si="19" ref="M157:O158">M159</f>
        <v>25395020</v>
      </c>
      <c r="N157" s="15">
        <f t="shared" si="19"/>
        <v>155420</v>
      </c>
      <c r="O157" s="15">
        <f t="shared" si="19"/>
        <v>387643.49</v>
      </c>
      <c r="P157" s="15">
        <f t="shared" si="18"/>
        <v>1.5264547537273057</v>
      </c>
    </row>
    <row r="158" spans="1:16" ht="15.75">
      <c r="A158" s="125" t="s">
        <v>25</v>
      </c>
      <c r="B158" s="63">
        <v>21</v>
      </c>
      <c r="C158" s="63">
        <v>0</v>
      </c>
      <c r="D158" s="63">
        <v>21</v>
      </c>
      <c r="E158" s="63" t="s">
        <v>26</v>
      </c>
      <c r="F158" s="38"/>
      <c r="G158" s="38"/>
      <c r="H158" s="38"/>
      <c r="I158" s="38"/>
      <c r="J158" s="38"/>
      <c r="K158" s="38"/>
      <c r="L158" s="98"/>
      <c r="M158" s="15">
        <f aca="true" t="shared" si="20" ref="M158:M167">M160</f>
        <v>1582313.97</v>
      </c>
      <c r="N158" s="15">
        <f t="shared" si="19"/>
        <v>0</v>
      </c>
      <c r="O158" s="15">
        <f t="shared" si="19"/>
        <v>0</v>
      </c>
      <c r="P158" s="15">
        <f t="shared" si="18"/>
        <v>0</v>
      </c>
    </row>
    <row r="159" spans="1:16" ht="19.5" customHeight="1">
      <c r="A159" s="127"/>
      <c r="B159" s="63" t="s">
        <v>226</v>
      </c>
      <c r="C159" s="63">
        <v>0</v>
      </c>
      <c r="D159" s="63">
        <v>33</v>
      </c>
      <c r="E159" s="63" t="s">
        <v>26</v>
      </c>
      <c r="F159" s="39" t="s">
        <v>0</v>
      </c>
      <c r="G159" s="39" t="s">
        <v>0</v>
      </c>
      <c r="H159" s="39" t="s">
        <v>0</v>
      </c>
      <c r="I159" s="39" t="s">
        <v>0</v>
      </c>
      <c r="J159" s="39"/>
      <c r="K159" s="39"/>
      <c r="L159" s="63"/>
      <c r="M159" s="15">
        <f t="shared" si="20"/>
        <v>25395020</v>
      </c>
      <c r="N159" s="15">
        <f aca="true" t="shared" si="21" ref="N159:O167">N161</f>
        <v>155420</v>
      </c>
      <c r="O159" s="15">
        <f t="shared" si="21"/>
        <v>387643.49</v>
      </c>
      <c r="P159" s="15">
        <f t="shared" si="18"/>
        <v>1.5264547537273057</v>
      </c>
    </row>
    <row r="160" spans="1:16" ht="20.25" customHeight="1">
      <c r="A160" s="125" t="s">
        <v>54</v>
      </c>
      <c r="B160" s="63">
        <v>21</v>
      </c>
      <c r="C160" s="63">
        <v>0</v>
      </c>
      <c r="D160" s="63">
        <v>21</v>
      </c>
      <c r="E160" s="63">
        <v>819</v>
      </c>
      <c r="F160" s="39"/>
      <c r="G160" s="39"/>
      <c r="H160" s="39"/>
      <c r="I160" s="39"/>
      <c r="J160" s="39"/>
      <c r="K160" s="39"/>
      <c r="L160" s="63"/>
      <c r="M160" s="15">
        <f t="shared" si="20"/>
        <v>1582313.97</v>
      </c>
      <c r="N160" s="15">
        <f t="shared" si="21"/>
        <v>0</v>
      </c>
      <c r="O160" s="15">
        <f t="shared" si="21"/>
        <v>0</v>
      </c>
      <c r="P160" s="15">
        <f t="shared" si="18"/>
        <v>0</v>
      </c>
    </row>
    <row r="161" spans="1:16" ht="18.75" customHeight="1">
      <c r="A161" s="127"/>
      <c r="B161" s="63">
        <v>21</v>
      </c>
      <c r="C161" s="63">
        <v>0</v>
      </c>
      <c r="D161" s="63">
        <v>33</v>
      </c>
      <c r="E161" s="63">
        <v>819</v>
      </c>
      <c r="F161" s="39"/>
      <c r="G161" s="39"/>
      <c r="H161" s="39"/>
      <c r="I161" s="39"/>
      <c r="J161" s="39"/>
      <c r="K161" s="39"/>
      <c r="L161" s="63"/>
      <c r="M161" s="15">
        <f t="shared" si="20"/>
        <v>25395020</v>
      </c>
      <c r="N161" s="15">
        <f t="shared" si="21"/>
        <v>155420</v>
      </c>
      <c r="O161" s="15">
        <f t="shared" si="21"/>
        <v>387643.49</v>
      </c>
      <c r="P161" s="15">
        <f t="shared" si="18"/>
        <v>1.5264547537273057</v>
      </c>
    </row>
    <row r="162" spans="1:16" ht="15.75">
      <c r="A162" s="179" t="s">
        <v>228</v>
      </c>
      <c r="B162" s="63">
        <v>21</v>
      </c>
      <c r="C162" s="63">
        <v>0</v>
      </c>
      <c r="D162" s="63">
        <v>21</v>
      </c>
      <c r="E162" s="63">
        <v>819</v>
      </c>
      <c r="F162" s="63">
        <v>10</v>
      </c>
      <c r="G162" s="39"/>
      <c r="H162" s="39"/>
      <c r="I162" s="39"/>
      <c r="J162" s="39"/>
      <c r="K162" s="39"/>
      <c r="L162" s="63"/>
      <c r="M162" s="15">
        <f t="shared" si="20"/>
        <v>1582313.97</v>
      </c>
      <c r="N162" s="15">
        <f t="shared" si="21"/>
        <v>0</v>
      </c>
      <c r="O162" s="15">
        <f t="shared" si="21"/>
        <v>0</v>
      </c>
      <c r="P162" s="15">
        <f t="shared" si="18"/>
        <v>0</v>
      </c>
    </row>
    <row r="163" spans="1:16" ht="15.75">
      <c r="A163" s="180"/>
      <c r="B163" s="63" t="s">
        <v>226</v>
      </c>
      <c r="C163" s="63">
        <v>0</v>
      </c>
      <c r="D163" s="63">
        <v>33</v>
      </c>
      <c r="E163" s="63" t="s">
        <v>26</v>
      </c>
      <c r="F163" s="63" t="s">
        <v>229</v>
      </c>
      <c r="G163" s="39" t="s">
        <v>0</v>
      </c>
      <c r="H163" s="39" t="s">
        <v>0</v>
      </c>
      <c r="I163" s="39" t="s">
        <v>0</v>
      </c>
      <c r="J163" s="39"/>
      <c r="K163" s="39"/>
      <c r="L163" s="63"/>
      <c r="M163" s="15">
        <f t="shared" si="20"/>
        <v>25395020</v>
      </c>
      <c r="N163" s="15">
        <f t="shared" si="21"/>
        <v>155420</v>
      </c>
      <c r="O163" s="15">
        <f t="shared" si="21"/>
        <v>387643.49</v>
      </c>
      <c r="P163" s="15">
        <f t="shared" si="18"/>
        <v>1.5264547537273057</v>
      </c>
    </row>
    <row r="164" spans="1:16" ht="15.75">
      <c r="A164" s="125" t="s">
        <v>230</v>
      </c>
      <c r="B164" s="63">
        <v>21</v>
      </c>
      <c r="C164" s="63">
        <v>0</v>
      </c>
      <c r="D164" s="63">
        <v>21</v>
      </c>
      <c r="E164" s="63">
        <v>819</v>
      </c>
      <c r="F164" s="63">
        <v>10</v>
      </c>
      <c r="G164" s="63" t="s">
        <v>15</v>
      </c>
      <c r="H164" s="39"/>
      <c r="I164" s="39"/>
      <c r="J164" s="39"/>
      <c r="K164" s="39"/>
      <c r="L164" s="63"/>
      <c r="M164" s="15">
        <f t="shared" si="20"/>
        <v>1582313.97</v>
      </c>
      <c r="N164" s="15">
        <f t="shared" si="21"/>
        <v>0</v>
      </c>
      <c r="O164" s="15">
        <f t="shared" si="21"/>
        <v>0</v>
      </c>
      <c r="P164" s="15">
        <f t="shared" si="18"/>
        <v>0</v>
      </c>
    </row>
    <row r="165" spans="1:16" ht="15.75">
      <c r="A165" s="127"/>
      <c r="B165" s="63" t="s">
        <v>226</v>
      </c>
      <c r="C165" s="63">
        <v>0</v>
      </c>
      <c r="D165" s="63">
        <v>33</v>
      </c>
      <c r="E165" s="63" t="s">
        <v>26</v>
      </c>
      <c r="F165" s="63" t="s">
        <v>229</v>
      </c>
      <c r="G165" s="63" t="s">
        <v>15</v>
      </c>
      <c r="H165" s="39" t="s">
        <v>0</v>
      </c>
      <c r="I165" s="39" t="s">
        <v>0</v>
      </c>
      <c r="J165" s="39"/>
      <c r="K165" s="39"/>
      <c r="L165" s="63"/>
      <c r="M165" s="15">
        <f t="shared" si="20"/>
        <v>25395020</v>
      </c>
      <c r="N165" s="15">
        <f t="shared" si="21"/>
        <v>155420</v>
      </c>
      <c r="O165" s="15">
        <f t="shared" si="21"/>
        <v>387643.49</v>
      </c>
      <c r="P165" s="15">
        <f t="shared" si="18"/>
        <v>1.5264547537273057</v>
      </c>
    </row>
    <row r="166" spans="1:16" ht="31.5">
      <c r="A166" s="14" t="s">
        <v>27</v>
      </c>
      <c r="B166" s="63" t="s">
        <v>226</v>
      </c>
      <c r="C166" s="63">
        <v>0</v>
      </c>
      <c r="D166" s="63">
        <v>21</v>
      </c>
      <c r="E166" s="63" t="s">
        <v>26</v>
      </c>
      <c r="F166" s="63" t="s">
        <v>229</v>
      </c>
      <c r="G166" s="63" t="s">
        <v>15</v>
      </c>
      <c r="H166" s="63">
        <v>11260</v>
      </c>
      <c r="I166" s="39" t="s">
        <v>0</v>
      </c>
      <c r="J166" s="39"/>
      <c r="K166" s="39"/>
      <c r="L166" s="63"/>
      <c r="M166" s="15">
        <f t="shared" si="20"/>
        <v>1582313.97</v>
      </c>
      <c r="N166" s="15">
        <f t="shared" si="21"/>
        <v>0</v>
      </c>
      <c r="O166" s="15">
        <f t="shared" si="21"/>
        <v>0</v>
      </c>
      <c r="P166" s="15">
        <f>O166/M166*100</f>
        <v>0</v>
      </c>
    </row>
    <row r="167" spans="1:16" ht="102.75" customHeight="1">
      <c r="A167" s="14" t="s">
        <v>395</v>
      </c>
      <c r="B167" s="63" t="s">
        <v>226</v>
      </c>
      <c r="C167" s="63">
        <v>0</v>
      </c>
      <c r="D167" s="63">
        <v>33</v>
      </c>
      <c r="E167" s="63" t="s">
        <v>26</v>
      </c>
      <c r="F167" s="63" t="s">
        <v>229</v>
      </c>
      <c r="G167" s="63" t="s">
        <v>15</v>
      </c>
      <c r="H167" s="63" t="s">
        <v>312</v>
      </c>
      <c r="I167" s="39" t="s">
        <v>0</v>
      </c>
      <c r="J167" s="39"/>
      <c r="K167" s="39"/>
      <c r="L167" s="63"/>
      <c r="M167" s="15">
        <f t="shared" si="20"/>
        <v>25395020</v>
      </c>
      <c r="N167" s="15">
        <f t="shared" si="21"/>
        <v>155420</v>
      </c>
      <c r="O167" s="15">
        <f t="shared" si="21"/>
        <v>387643.49</v>
      </c>
      <c r="P167" s="15">
        <f t="shared" si="18"/>
        <v>1.5264547537273057</v>
      </c>
    </row>
    <row r="168" spans="1:16" ht="23.25" customHeight="1">
      <c r="A168" s="125" t="s">
        <v>28</v>
      </c>
      <c r="B168" s="63">
        <v>21</v>
      </c>
      <c r="C168" s="63">
        <v>0</v>
      </c>
      <c r="D168" s="63">
        <v>21</v>
      </c>
      <c r="E168" s="63">
        <v>819</v>
      </c>
      <c r="F168" s="63">
        <v>10</v>
      </c>
      <c r="G168" s="63">
        <v>2</v>
      </c>
      <c r="H168" s="63">
        <v>11260</v>
      </c>
      <c r="I168" s="63">
        <v>414</v>
      </c>
      <c r="J168" s="39"/>
      <c r="K168" s="39"/>
      <c r="L168" s="63"/>
      <c r="M168" s="15">
        <f>M170+M172+M174</f>
        <v>1582313.97</v>
      </c>
      <c r="N168" s="15">
        <f>N170+N172+N174</f>
        <v>0</v>
      </c>
      <c r="O168" s="15">
        <f>O170+O172+O174</f>
        <v>0</v>
      </c>
      <c r="P168" s="15">
        <f t="shared" si="18"/>
        <v>0</v>
      </c>
    </row>
    <row r="169" spans="1:16" ht="25.5" customHeight="1">
      <c r="A169" s="127"/>
      <c r="B169" s="63" t="s">
        <v>226</v>
      </c>
      <c r="C169" s="63">
        <v>0</v>
      </c>
      <c r="D169" s="63">
        <v>33</v>
      </c>
      <c r="E169" s="63" t="s">
        <v>26</v>
      </c>
      <c r="F169" s="63" t="s">
        <v>229</v>
      </c>
      <c r="G169" s="63" t="s">
        <v>15</v>
      </c>
      <c r="H169" s="63" t="s">
        <v>312</v>
      </c>
      <c r="I169" s="63" t="s">
        <v>29</v>
      </c>
      <c r="J169" s="63"/>
      <c r="K169" s="63"/>
      <c r="L169" s="63"/>
      <c r="M169" s="15">
        <f>M177</f>
        <v>25395020</v>
      </c>
      <c r="N169" s="15">
        <f>N177</f>
        <v>155420</v>
      </c>
      <c r="O169" s="15">
        <f>O177</f>
        <v>387643.49</v>
      </c>
      <c r="P169" s="15">
        <f t="shared" si="18"/>
        <v>1.5264547537273057</v>
      </c>
    </row>
    <row r="170" spans="1:16" ht="15.75">
      <c r="A170" s="120" t="s">
        <v>88</v>
      </c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15">
        <f>M171</f>
        <v>653083.97</v>
      </c>
      <c r="N170" s="15">
        <f>N171</f>
        <v>0</v>
      </c>
      <c r="O170" s="15">
        <f>O171</f>
        <v>0</v>
      </c>
      <c r="P170" s="15">
        <f t="shared" si="18"/>
        <v>0</v>
      </c>
    </row>
    <row r="171" spans="1:16" ht="47.25">
      <c r="A171" s="10" t="s">
        <v>396</v>
      </c>
      <c r="B171" s="67">
        <v>21</v>
      </c>
      <c r="C171" s="67">
        <v>0</v>
      </c>
      <c r="D171" s="67">
        <v>21</v>
      </c>
      <c r="E171" s="67">
        <v>819</v>
      </c>
      <c r="F171" s="67">
        <v>10</v>
      </c>
      <c r="G171" s="67">
        <v>2</v>
      </c>
      <c r="H171" s="67">
        <v>11260</v>
      </c>
      <c r="I171" s="67">
        <v>414</v>
      </c>
      <c r="J171" s="12" t="s">
        <v>53</v>
      </c>
      <c r="K171" s="181">
        <v>120</v>
      </c>
      <c r="L171" s="12">
        <v>2019</v>
      </c>
      <c r="M171" s="30">
        <v>653083.97</v>
      </c>
      <c r="N171" s="30">
        <v>0</v>
      </c>
      <c r="O171" s="30">
        <v>0</v>
      </c>
      <c r="P171" s="29">
        <f t="shared" si="18"/>
        <v>0</v>
      </c>
    </row>
    <row r="172" spans="1:16" s="8" customFormat="1" ht="15.75">
      <c r="A172" s="176" t="s">
        <v>72</v>
      </c>
      <c r="B172" s="63"/>
      <c r="C172" s="63"/>
      <c r="D172" s="63"/>
      <c r="E172" s="63"/>
      <c r="F172" s="63"/>
      <c r="G172" s="63"/>
      <c r="H172" s="63"/>
      <c r="I172" s="63"/>
      <c r="J172" s="102"/>
      <c r="K172" s="182"/>
      <c r="L172" s="102"/>
      <c r="M172" s="23">
        <f>M173</f>
        <v>129230</v>
      </c>
      <c r="N172" s="23">
        <f>N173</f>
        <v>0</v>
      </c>
      <c r="O172" s="23">
        <f>O173</f>
        <v>0</v>
      </c>
      <c r="P172" s="29">
        <f t="shared" si="18"/>
        <v>0</v>
      </c>
    </row>
    <row r="173" spans="1:16" ht="63">
      <c r="A173" s="10" t="s">
        <v>397</v>
      </c>
      <c r="B173" s="67">
        <v>21</v>
      </c>
      <c r="C173" s="67">
        <v>0</v>
      </c>
      <c r="D173" s="67">
        <v>21</v>
      </c>
      <c r="E173" s="67">
        <v>819</v>
      </c>
      <c r="F173" s="67">
        <v>10</v>
      </c>
      <c r="G173" s="67">
        <v>2</v>
      </c>
      <c r="H173" s="67">
        <v>11260</v>
      </c>
      <c r="I173" s="67">
        <v>414</v>
      </c>
      <c r="J173" s="12" t="s">
        <v>398</v>
      </c>
      <c r="K173" s="181">
        <v>100</v>
      </c>
      <c r="L173" s="12">
        <v>2018</v>
      </c>
      <c r="M173" s="30">
        <v>129230</v>
      </c>
      <c r="N173" s="30">
        <f>N175</f>
        <v>0</v>
      </c>
      <c r="O173" s="30">
        <f>O175</f>
        <v>0</v>
      </c>
      <c r="P173" s="29">
        <f>O173/M173*100</f>
        <v>0</v>
      </c>
    </row>
    <row r="174" spans="1:16" ht="15.75">
      <c r="A174" s="120" t="s">
        <v>118</v>
      </c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15">
        <f>M175</f>
        <v>800000</v>
      </c>
      <c r="N174" s="15">
        <f>N175</f>
        <v>0</v>
      </c>
      <c r="O174" s="15">
        <f>O175</f>
        <v>0</v>
      </c>
      <c r="P174" s="15">
        <f>O174/M174*100</f>
        <v>0</v>
      </c>
    </row>
    <row r="175" spans="1:16" ht="31.5">
      <c r="A175" s="10" t="s">
        <v>399</v>
      </c>
      <c r="B175" s="67">
        <v>21</v>
      </c>
      <c r="C175" s="67">
        <v>0</v>
      </c>
      <c r="D175" s="67">
        <v>21</v>
      </c>
      <c r="E175" s="67">
        <v>819</v>
      </c>
      <c r="F175" s="67">
        <v>10</v>
      </c>
      <c r="G175" s="67">
        <v>2</v>
      </c>
      <c r="H175" s="67">
        <v>11260</v>
      </c>
      <c r="I175" s="67">
        <v>414</v>
      </c>
      <c r="J175" s="12" t="s">
        <v>53</v>
      </c>
      <c r="K175" s="181">
        <v>25</v>
      </c>
      <c r="L175" s="12">
        <v>2020</v>
      </c>
      <c r="M175" s="30">
        <v>800000</v>
      </c>
      <c r="N175" s="30">
        <v>0</v>
      </c>
      <c r="O175" s="30">
        <v>0</v>
      </c>
      <c r="P175" s="29">
        <f>O175/M175*100</f>
        <v>0</v>
      </c>
    </row>
    <row r="176" spans="1:16" ht="15.75">
      <c r="A176" s="44" t="s">
        <v>66</v>
      </c>
      <c r="B176" s="67"/>
      <c r="C176" s="67"/>
      <c r="D176" s="67"/>
      <c r="E176" s="67"/>
      <c r="F176" s="67"/>
      <c r="G176" s="63"/>
      <c r="H176" s="67"/>
      <c r="I176" s="67"/>
      <c r="J176" s="12"/>
      <c r="K176" s="92"/>
      <c r="L176" s="12"/>
      <c r="M176" s="28">
        <f>M177</f>
        <v>25395020</v>
      </c>
      <c r="N176" s="28">
        <f>N177</f>
        <v>155420</v>
      </c>
      <c r="O176" s="28">
        <f>O177</f>
        <v>387643.49</v>
      </c>
      <c r="P176" s="15">
        <f t="shared" si="18"/>
        <v>1.5264547537273057</v>
      </c>
    </row>
    <row r="177" spans="1:16" ht="47.25">
      <c r="A177" s="183" t="s">
        <v>178</v>
      </c>
      <c r="B177" s="67">
        <v>21</v>
      </c>
      <c r="C177" s="67">
        <v>0</v>
      </c>
      <c r="D177" s="67">
        <v>33</v>
      </c>
      <c r="E177" s="67">
        <v>819</v>
      </c>
      <c r="F177" s="67">
        <v>10</v>
      </c>
      <c r="G177" s="67" t="s">
        <v>15</v>
      </c>
      <c r="H177" s="67" t="s">
        <v>312</v>
      </c>
      <c r="I177" s="67">
        <v>414</v>
      </c>
      <c r="J177" s="12" t="s">
        <v>53</v>
      </c>
      <c r="K177" s="70">
        <v>150</v>
      </c>
      <c r="L177" s="12">
        <v>2017</v>
      </c>
      <c r="M177" s="33">
        <f>M179+M180</f>
        <v>25395020</v>
      </c>
      <c r="N177" s="33">
        <f>N179+N180</f>
        <v>155420</v>
      </c>
      <c r="O177" s="33">
        <f>O179+O180</f>
        <v>387643.49</v>
      </c>
      <c r="P177" s="29">
        <f t="shared" si="18"/>
        <v>1.5264547537273057</v>
      </c>
    </row>
    <row r="178" spans="1:16" ht="15.75">
      <c r="A178" s="78" t="s">
        <v>49</v>
      </c>
      <c r="B178" s="67"/>
      <c r="C178" s="67"/>
      <c r="D178" s="67"/>
      <c r="E178" s="67"/>
      <c r="F178" s="67"/>
      <c r="G178" s="67"/>
      <c r="H178" s="67"/>
      <c r="I178" s="67"/>
      <c r="J178" s="12"/>
      <c r="K178" s="70"/>
      <c r="L178" s="12"/>
      <c r="M178" s="33"/>
      <c r="N178" s="33"/>
      <c r="O178" s="33"/>
      <c r="P178" s="29"/>
    </row>
    <row r="179" spans="1:16" ht="15.75">
      <c r="A179" s="78" t="s">
        <v>347</v>
      </c>
      <c r="B179" s="67"/>
      <c r="C179" s="67"/>
      <c r="D179" s="67"/>
      <c r="E179" s="67"/>
      <c r="F179" s="67"/>
      <c r="G179" s="67"/>
      <c r="H179" s="67"/>
      <c r="I179" s="67"/>
      <c r="J179" s="12"/>
      <c r="K179" s="70"/>
      <c r="L179" s="12"/>
      <c r="M179" s="33">
        <v>18038100</v>
      </c>
      <c r="N179" s="33">
        <v>0</v>
      </c>
      <c r="O179" s="33">
        <v>0</v>
      </c>
      <c r="P179" s="29">
        <f t="shared" si="18"/>
        <v>0</v>
      </c>
    </row>
    <row r="180" spans="1:16" ht="15.75">
      <c r="A180" s="78" t="s">
        <v>346</v>
      </c>
      <c r="B180" s="67"/>
      <c r="C180" s="67"/>
      <c r="D180" s="67"/>
      <c r="E180" s="67"/>
      <c r="F180" s="67"/>
      <c r="G180" s="67"/>
      <c r="H180" s="67"/>
      <c r="I180" s="67"/>
      <c r="J180" s="12"/>
      <c r="K180" s="70"/>
      <c r="L180" s="12"/>
      <c r="M180" s="33">
        <f>2606920+4750000</f>
        <v>7356920</v>
      </c>
      <c r="N180" s="33">
        <v>155420</v>
      </c>
      <c r="O180" s="33">
        <v>387643.49</v>
      </c>
      <c r="P180" s="29">
        <f t="shared" si="18"/>
        <v>5.269100248473546</v>
      </c>
    </row>
    <row r="181" spans="1:16" ht="31.5">
      <c r="A181" s="14" t="s">
        <v>44</v>
      </c>
      <c r="B181" s="63" t="s">
        <v>45</v>
      </c>
      <c r="C181" s="63">
        <v>0</v>
      </c>
      <c r="D181" s="63"/>
      <c r="E181" s="98" t="s">
        <v>0</v>
      </c>
      <c r="F181" s="98" t="s">
        <v>0</v>
      </c>
      <c r="G181" s="98" t="s">
        <v>0</v>
      </c>
      <c r="H181" s="98"/>
      <c r="I181" s="98" t="s">
        <v>0</v>
      </c>
      <c r="J181" s="62"/>
      <c r="K181" s="62"/>
      <c r="L181" s="62"/>
      <c r="M181" s="15">
        <f>M182</f>
        <v>133921115</v>
      </c>
      <c r="N181" s="15">
        <f>N182</f>
        <v>56121529.70999999</v>
      </c>
      <c r="O181" s="15">
        <f>O182</f>
        <v>56089458.45999999</v>
      </c>
      <c r="P181" s="15">
        <f t="shared" si="18"/>
        <v>41.882460775509514</v>
      </c>
    </row>
    <row r="182" spans="1:16" ht="31.5">
      <c r="A182" s="14" t="s">
        <v>104</v>
      </c>
      <c r="B182" s="63" t="s">
        <v>45</v>
      </c>
      <c r="C182" s="63">
        <v>0</v>
      </c>
      <c r="D182" s="63">
        <v>14</v>
      </c>
      <c r="E182" s="98"/>
      <c r="F182" s="98"/>
      <c r="G182" s="98"/>
      <c r="H182" s="98"/>
      <c r="I182" s="98"/>
      <c r="J182" s="62"/>
      <c r="K182" s="62"/>
      <c r="L182" s="62"/>
      <c r="M182" s="15">
        <f>M183+M200</f>
        <v>133921115</v>
      </c>
      <c r="N182" s="15">
        <f>N183+N200</f>
        <v>56121529.70999999</v>
      </c>
      <c r="O182" s="15">
        <f>O183+O200</f>
        <v>56089458.45999999</v>
      </c>
      <c r="P182" s="15">
        <f t="shared" si="18"/>
        <v>41.882460775509514</v>
      </c>
    </row>
    <row r="183" spans="1:16" ht="33" customHeight="1">
      <c r="A183" s="14" t="s">
        <v>25</v>
      </c>
      <c r="B183" s="63" t="s">
        <v>45</v>
      </c>
      <c r="C183" s="63">
        <v>0</v>
      </c>
      <c r="D183" s="63">
        <v>14</v>
      </c>
      <c r="E183" s="63">
        <v>819</v>
      </c>
      <c r="F183" s="63" t="s">
        <v>0</v>
      </c>
      <c r="G183" s="63" t="s">
        <v>0</v>
      </c>
      <c r="H183" s="63" t="s">
        <v>0</v>
      </c>
      <c r="I183" s="63" t="s">
        <v>0</v>
      </c>
      <c r="J183" s="99"/>
      <c r="K183" s="99"/>
      <c r="L183" s="99"/>
      <c r="M183" s="15">
        <f>M184</f>
        <v>131071115</v>
      </c>
      <c r="N183" s="15">
        <f>N184</f>
        <v>56121529.70999999</v>
      </c>
      <c r="O183" s="15">
        <f>O184</f>
        <v>56089458.45999999</v>
      </c>
      <c r="P183" s="15">
        <f t="shared" si="18"/>
        <v>42.79314970350255</v>
      </c>
    </row>
    <row r="184" spans="1:16" ht="31.5">
      <c r="A184" s="14" t="s">
        <v>54</v>
      </c>
      <c r="B184" s="63">
        <v>25</v>
      </c>
      <c r="C184" s="63">
        <v>0</v>
      </c>
      <c r="D184" s="63">
        <v>14</v>
      </c>
      <c r="E184" s="63">
        <v>819</v>
      </c>
      <c r="F184" s="63"/>
      <c r="G184" s="63"/>
      <c r="H184" s="63"/>
      <c r="I184" s="63"/>
      <c r="J184" s="99"/>
      <c r="K184" s="99"/>
      <c r="L184" s="99"/>
      <c r="M184" s="15">
        <f>M186+M192</f>
        <v>131071115</v>
      </c>
      <c r="N184" s="15">
        <f>N186+N192</f>
        <v>56121529.70999999</v>
      </c>
      <c r="O184" s="15">
        <f>O186+O192</f>
        <v>56089458.45999999</v>
      </c>
      <c r="P184" s="15">
        <f t="shared" si="18"/>
        <v>42.79314970350255</v>
      </c>
    </row>
    <row r="185" spans="1:16" ht="15.75">
      <c r="A185" s="14" t="s">
        <v>46</v>
      </c>
      <c r="B185" s="63" t="s">
        <v>45</v>
      </c>
      <c r="C185" s="63">
        <v>0</v>
      </c>
      <c r="D185" s="63">
        <v>14</v>
      </c>
      <c r="E185" s="63" t="s">
        <v>26</v>
      </c>
      <c r="F185" s="63" t="s">
        <v>13</v>
      </c>
      <c r="G185" s="63" t="s">
        <v>0</v>
      </c>
      <c r="H185" s="63" t="s">
        <v>0</v>
      </c>
      <c r="I185" s="63" t="s">
        <v>0</v>
      </c>
      <c r="J185" s="99"/>
      <c r="K185" s="99"/>
      <c r="L185" s="99"/>
      <c r="M185" s="15">
        <f>M186+M192</f>
        <v>131071115</v>
      </c>
      <c r="N185" s="15">
        <f>N186+N192</f>
        <v>56121529.70999999</v>
      </c>
      <c r="O185" s="15">
        <f>O186+O192</f>
        <v>56089458.45999999</v>
      </c>
      <c r="P185" s="15">
        <f t="shared" si="18"/>
        <v>42.79314970350255</v>
      </c>
    </row>
    <row r="186" spans="1:16" ht="15.75">
      <c r="A186" s="14" t="s">
        <v>47</v>
      </c>
      <c r="B186" s="63" t="s">
        <v>45</v>
      </c>
      <c r="C186" s="63">
        <v>0</v>
      </c>
      <c r="D186" s="63">
        <v>14</v>
      </c>
      <c r="E186" s="63" t="s">
        <v>26</v>
      </c>
      <c r="F186" s="63" t="s">
        <v>13</v>
      </c>
      <c r="G186" s="63" t="s">
        <v>14</v>
      </c>
      <c r="H186" s="63" t="s">
        <v>0</v>
      </c>
      <c r="I186" s="63" t="s">
        <v>0</v>
      </c>
      <c r="J186" s="99"/>
      <c r="K186" s="99"/>
      <c r="L186" s="99"/>
      <c r="M186" s="15">
        <f aca="true" t="shared" si="22" ref="M186:O187">M187</f>
        <v>21961115</v>
      </c>
      <c r="N186" s="15">
        <f t="shared" si="22"/>
        <v>4329049.14</v>
      </c>
      <c r="O186" s="15">
        <f t="shared" si="22"/>
        <v>4343016.02</v>
      </c>
      <c r="P186" s="15">
        <f t="shared" si="18"/>
        <v>19.775935875751298</v>
      </c>
    </row>
    <row r="187" spans="1:16" ht="35.25" customHeight="1">
      <c r="A187" s="14" t="s">
        <v>27</v>
      </c>
      <c r="B187" s="63" t="s">
        <v>45</v>
      </c>
      <c r="C187" s="63">
        <v>0</v>
      </c>
      <c r="D187" s="63">
        <v>14</v>
      </c>
      <c r="E187" s="63" t="s">
        <v>26</v>
      </c>
      <c r="F187" s="63" t="s">
        <v>13</v>
      </c>
      <c r="G187" s="63" t="s">
        <v>14</v>
      </c>
      <c r="H187" s="63">
        <v>11260</v>
      </c>
      <c r="I187" s="63" t="s">
        <v>0</v>
      </c>
      <c r="J187" s="99"/>
      <c r="K187" s="99"/>
      <c r="L187" s="99"/>
      <c r="M187" s="15">
        <f t="shared" si="22"/>
        <v>21961115</v>
      </c>
      <c r="N187" s="15">
        <f t="shared" si="22"/>
        <v>4329049.14</v>
      </c>
      <c r="O187" s="15">
        <f t="shared" si="22"/>
        <v>4343016.02</v>
      </c>
      <c r="P187" s="15">
        <f t="shared" si="18"/>
        <v>19.775935875751298</v>
      </c>
    </row>
    <row r="188" spans="1:16" ht="47.25">
      <c r="A188" s="14" t="s">
        <v>28</v>
      </c>
      <c r="B188" s="63" t="s">
        <v>45</v>
      </c>
      <c r="C188" s="63">
        <v>0</v>
      </c>
      <c r="D188" s="63">
        <v>14</v>
      </c>
      <c r="E188" s="63" t="s">
        <v>26</v>
      </c>
      <c r="F188" s="63" t="s">
        <v>13</v>
      </c>
      <c r="G188" s="63" t="s">
        <v>14</v>
      </c>
      <c r="H188" s="63">
        <v>11260</v>
      </c>
      <c r="I188" s="63" t="s">
        <v>29</v>
      </c>
      <c r="J188" s="99"/>
      <c r="K188" s="99"/>
      <c r="L188" s="99"/>
      <c r="M188" s="15">
        <f>M190+M191</f>
        <v>21961115</v>
      </c>
      <c r="N188" s="15">
        <f>N190+N191</f>
        <v>4329049.14</v>
      </c>
      <c r="O188" s="15">
        <f>O190+O191</f>
        <v>4343016.02</v>
      </c>
      <c r="P188" s="15">
        <f t="shared" si="18"/>
        <v>19.775935875751298</v>
      </c>
    </row>
    <row r="189" spans="1:16" ht="15.75">
      <c r="A189" s="14" t="s">
        <v>75</v>
      </c>
      <c r="B189" s="63"/>
      <c r="C189" s="63"/>
      <c r="D189" s="63"/>
      <c r="E189" s="63"/>
      <c r="F189" s="63"/>
      <c r="G189" s="63"/>
      <c r="H189" s="63"/>
      <c r="I189" s="63"/>
      <c r="J189" s="99"/>
      <c r="K189" s="99"/>
      <c r="L189" s="99"/>
      <c r="M189" s="15">
        <f>M190+M191</f>
        <v>21961115</v>
      </c>
      <c r="N189" s="15">
        <f>N190+N191</f>
        <v>4329049.14</v>
      </c>
      <c r="O189" s="15">
        <f>O190+O191</f>
        <v>4343016.02</v>
      </c>
      <c r="P189" s="15">
        <f t="shared" si="18"/>
        <v>19.775935875751298</v>
      </c>
    </row>
    <row r="190" spans="1:16" ht="28.5" customHeight="1" hidden="1">
      <c r="A190" s="10" t="s">
        <v>92</v>
      </c>
      <c r="B190" s="67" t="s">
        <v>45</v>
      </c>
      <c r="C190" s="67">
        <v>0</v>
      </c>
      <c r="D190" s="67">
        <v>14</v>
      </c>
      <c r="E190" s="67" t="s">
        <v>26</v>
      </c>
      <c r="F190" s="67" t="s">
        <v>13</v>
      </c>
      <c r="G190" s="67" t="s">
        <v>14</v>
      </c>
      <c r="H190" s="67">
        <v>11260</v>
      </c>
      <c r="I190" s="67" t="s">
        <v>29</v>
      </c>
      <c r="J190" s="62" t="s">
        <v>68</v>
      </c>
      <c r="K190" s="184">
        <v>48</v>
      </c>
      <c r="L190" s="12"/>
      <c r="M190" s="29">
        <v>0</v>
      </c>
      <c r="N190" s="29">
        <v>0</v>
      </c>
      <c r="O190" s="29">
        <v>0</v>
      </c>
      <c r="P190" s="29" t="e">
        <f t="shared" si="18"/>
        <v>#DIV/0!</v>
      </c>
    </row>
    <row r="191" spans="1:16" ht="18.75" customHeight="1">
      <c r="A191" s="10" t="s">
        <v>93</v>
      </c>
      <c r="B191" s="67" t="s">
        <v>45</v>
      </c>
      <c r="C191" s="67">
        <v>0</v>
      </c>
      <c r="D191" s="67">
        <v>14</v>
      </c>
      <c r="E191" s="67" t="s">
        <v>26</v>
      </c>
      <c r="F191" s="67" t="s">
        <v>13</v>
      </c>
      <c r="G191" s="67" t="s">
        <v>14</v>
      </c>
      <c r="H191" s="67">
        <v>11260</v>
      </c>
      <c r="I191" s="67" t="s">
        <v>29</v>
      </c>
      <c r="J191" s="62" t="s">
        <v>68</v>
      </c>
      <c r="K191" s="184">
        <v>48</v>
      </c>
      <c r="L191" s="12">
        <v>2018</v>
      </c>
      <c r="M191" s="29">
        <v>21961115</v>
      </c>
      <c r="N191" s="29">
        <v>4329049.14</v>
      </c>
      <c r="O191" s="29">
        <v>4343016.02</v>
      </c>
      <c r="P191" s="29">
        <f t="shared" si="18"/>
        <v>19.775935875751298</v>
      </c>
    </row>
    <row r="192" spans="1:16" ht="15.75">
      <c r="A192" s="14" t="s">
        <v>48</v>
      </c>
      <c r="B192" s="63" t="s">
        <v>45</v>
      </c>
      <c r="C192" s="63">
        <v>0</v>
      </c>
      <c r="D192" s="63">
        <v>14</v>
      </c>
      <c r="E192" s="63" t="s">
        <v>26</v>
      </c>
      <c r="F192" s="63" t="s">
        <v>13</v>
      </c>
      <c r="G192" s="63" t="s">
        <v>15</v>
      </c>
      <c r="H192" s="63" t="s">
        <v>0</v>
      </c>
      <c r="I192" s="63" t="s">
        <v>0</v>
      </c>
      <c r="J192" s="99"/>
      <c r="K192" s="99"/>
      <c r="L192" s="99"/>
      <c r="M192" s="15">
        <f>M193</f>
        <v>109110000</v>
      </c>
      <c r="N192" s="15">
        <f>N193</f>
        <v>51792480.56999999</v>
      </c>
      <c r="O192" s="15">
        <f>O193</f>
        <v>51746442.44</v>
      </c>
      <c r="P192" s="15">
        <f t="shared" si="18"/>
        <v>47.42593936394464</v>
      </c>
    </row>
    <row r="193" spans="1:16" ht="36.75" customHeight="1">
      <c r="A193" s="14" t="s">
        <v>27</v>
      </c>
      <c r="B193" s="63" t="s">
        <v>45</v>
      </c>
      <c r="C193" s="63">
        <v>0</v>
      </c>
      <c r="D193" s="63">
        <v>14</v>
      </c>
      <c r="E193" s="63" t="s">
        <v>26</v>
      </c>
      <c r="F193" s="63" t="s">
        <v>13</v>
      </c>
      <c r="G193" s="63" t="s">
        <v>15</v>
      </c>
      <c r="H193" s="63" t="s">
        <v>296</v>
      </c>
      <c r="I193" s="63" t="s">
        <v>0</v>
      </c>
      <c r="J193" s="99"/>
      <c r="K193" s="99"/>
      <c r="L193" s="99"/>
      <c r="M193" s="15">
        <f>M195</f>
        <v>109110000</v>
      </c>
      <c r="N193" s="15">
        <f>N195</f>
        <v>51792480.56999999</v>
      </c>
      <c r="O193" s="15">
        <f>O195</f>
        <v>51746442.44</v>
      </c>
      <c r="P193" s="15">
        <f t="shared" si="18"/>
        <v>47.42593936394464</v>
      </c>
    </row>
    <row r="194" spans="1:16" ht="63">
      <c r="A194" s="90" t="s">
        <v>119</v>
      </c>
      <c r="B194" s="63" t="s">
        <v>45</v>
      </c>
      <c r="C194" s="63">
        <v>0</v>
      </c>
      <c r="D194" s="63">
        <v>14</v>
      </c>
      <c r="E194" s="63" t="s">
        <v>26</v>
      </c>
      <c r="F194" s="63" t="s">
        <v>13</v>
      </c>
      <c r="G194" s="63" t="s">
        <v>15</v>
      </c>
      <c r="H194" s="63" t="s">
        <v>296</v>
      </c>
      <c r="I194" s="63"/>
      <c r="J194" s="99"/>
      <c r="K194" s="99"/>
      <c r="L194" s="99"/>
      <c r="M194" s="15">
        <f aca="true" t="shared" si="23" ref="M194:O195">M195</f>
        <v>109110000</v>
      </c>
      <c r="N194" s="15">
        <f t="shared" si="23"/>
        <v>51792480.56999999</v>
      </c>
      <c r="O194" s="15">
        <f t="shared" si="23"/>
        <v>51746442.44</v>
      </c>
      <c r="P194" s="15">
        <f t="shared" si="18"/>
        <v>47.42593936394464</v>
      </c>
    </row>
    <row r="195" spans="1:16" ht="51.75" customHeight="1">
      <c r="A195" s="90" t="s">
        <v>28</v>
      </c>
      <c r="B195" s="63" t="s">
        <v>45</v>
      </c>
      <c r="C195" s="63">
        <v>0</v>
      </c>
      <c r="D195" s="63">
        <v>14</v>
      </c>
      <c r="E195" s="63" t="s">
        <v>26</v>
      </c>
      <c r="F195" s="63" t="s">
        <v>13</v>
      </c>
      <c r="G195" s="63" t="s">
        <v>15</v>
      </c>
      <c r="H195" s="63" t="s">
        <v>296</v>
      </c>
      <c r="I195" s="63" t="s">
        <v>29</v>
      </c>
      <c r="J195" s="99"/>
      <c r="K195" s="99"/>
      <c r="L195" s="99"/>
      <c r="M195" s="15">
        <f t="shared" si="23"/>
        <v>109110000</v>
      </c>
      <c r="N195" s="15">
        <f t="shared" si="23"/>
        <v>51792480.56999999</v>
      </c>
      <c r="O195" s="15">
        <f t="shared" si="23"/>
        <v>51746442.44</v>
      </c>
      <c r="P195" s="15">
        <f t="shared" si="18"/>
        <v>47.42593936394464</v>
      </c>
    </row>
    <row r="196" spans="1:16" ht="33.75" customHeight="1">
      <c r="A196" s="77" t="s">
        <v>121</v>
      </c>
      <c r="B196" s="67" t="s">
        <v>45</v>
      </c>
      <c r="C196" s="67">
        <v>0</v>
      </c>
      <c r="D196" s="67">
        <v>14</v>
      </c>
      <c r="E196" s="67" t="s">
        <v>26</v>
      </c>
      <c r="F196" s="67" t="s">
        <v>13</v>
      </c>
      <c r="G196" s="67" t="s">
        <v>15</v>
      </c>
      <c r="H196" s="67" t="s">
        <v>296</v>
      </c>
      <c r="I196" s="67" t="s">
        <v>29</v>
      </c>
      <c r="J196" s="62" t="s">
        <v>84</v>
      </c>
      <c r="K196" s="12">
        <v>7691.78</v>
      </c>
      <c r="L196" s="62" t="s">
        <v>111</v>
      </c>
      <c r="M196" s="29">
        <f>M198+M199</f>
        <v>109110000</v>
      </c>
      <c r="N196" s="29">
        <f>N198+N199</f>
        <v>51792480.56999999</v>
      </c>
      <c r="O196" s="29">
        <f>O198+O199</f>
        <v>51746442.44</v>
      </c>
      <c r="P196" s="29">
        <f t="shared" si="18"/>
        <v>47.42593936394464</v>
      </c>
    </row>
    <row r="197" spans="1:16" ht="15.75">
      <c r="A197" s="78" t="s">
        <v>49</v>
      </c>
      <c r="B197" s="67"/>
      <c r="C197" s="67"/>
      <c r="D197" s="67"/>
      <c r="E197" s="67"/>
      <c r="F197" s="67"/>
      <c r="G197" s="67"/>
      <c r="H197" s="67"/>
      <c r="I197" s="67"/>
      <c r="J197" s="62"/>
      <c r="K197" s="12"/>
      <c r="L197" s="62"/>
      <c r="M197" s="29"/>
      <c r="N197" s="29"/>
      <c r="O197" s="29"/>
      <c r="P197" s="29"/>
    </row>
    <row r="198" spans="1:16" ht="15.75">
      <c r="A198" s="78" t="s">
        <v>345</v>
      </c>
      <c r="B198" s="67"/>
      <c r="C198" s="67"/>
      <c r="D198" s="67"/>
      <c r="E198" s="67"/>
      <c r="F198" s="67"/>
      <c r="G198" s="67"/>
      <c r="H198" s="67"/>
      <c r="I198" s="67"/>
      <c r="J198" s="62"/>
      <c r="K198" s="12"/>
      <c r="L198" s="62"/>
      <c r="M198" s="29">
        <v>75910000</v>
      </c>
      <c r="N198" s="29">
        <v>36032028.73</v>
      </c>
      <c r="O198" s="29">
        <v>35999999</v>
      </c>
      <c r="P198" s="29">
        <f t="shared" si="18"/>
        <v>47.42458042418654</v>
      </c>
    </row>
    <row r="199" spans="1:16" ht="15.75">
      <c r="A199" s="78" t="s">
        <v>346</v>
      </c>
      <c r="B199" s="67"/>
      <c r="C199" s="67"/>
      <c r="D199" s="67"/>
      <c r="E199" s="67"/>
      <c r="F199" s="67"/>
      <c r="G199" s="67"/>
      <c r="H199" s="67"/>
      <c r="I199" s="67"/>
      <c r="J199" s="62"/>
      <c r="K199" s="12"/>
      <c r="L199" s="62"/>
      <c r="M199" s="29">
        <v>33200000</v>
      </c>
      <c r="N199" s="29">
        <v>15760451.84</v>
      </c>
      <c r="O199" s="29">
        <v>15746443.44</v>
      </c>
      <c r="P199" s="29">
        <f t="shared" si="18"/>
        <v>47.4290465060241</v>
      </c>
    </row>
    <row r="200" spans="1:16" ht="32.25" customHeight="1">
      <c r="A200" s="14" t="s">
        <v>179</v>
      </c>
      <c r="B200" s="63" t="s">
        <v>45</v>
      </c>
      <c r="C200" s="63">
        <v>0</v>
      </c>
      <c r="D200" s="63">
        <v>14</v>
      </c>
      <c r="E200" s="63">
        <v>825</v>
      </c>
      <c r="F200" s="67"/>
      <c r="G200" s="67"/>
      <c r="H200" s="67"/>
      <c r="I200" s="67"/>
      <c r="J200" s="62"/>
      <c r="K200" s="12"/>
      <c r="L200" s="12"/>
      <c r="M200" s="15">
        <f>M201</f>
        <v>2850000</v>
      </c>
      <c r="N200" s="15">
        <f>N201</f>
        <v>0</v>
      </c>
      <c r="O200" s="15">
        <f>O201</f>
        <v>0</v>
      </c>
      <c r="P200" s="15">
        <f t="shared" si="18"/>
        <v>0</v>
      </c>
    </row>
    <row r="201" spans="1:16" ht="15.75">
      <c r="A201" s="14" t="s">
        <v>180</v>
      </c>
      <c r="B201" s="63">
        <v>25</v>
      </c>
      <c r="C201" s="63">
        <v>0</v>
      </c>
      <c r="D201" s="63">
        <v>14</v>
      </c>
      <c r="E201" s="63">
        <v>825</v>
      </c>
      <c r="F201" s="67"/>
      <c r="G201" s="67"/>
      <c r="H201" s="67"/>
      <c r="I201" s="67"/>
      <c r="J201" s="62"/>
      <c r="K201" s="12"/>
      <c r="L201" s="12"/>
      <c r="M201" s="15">
        <f>M203</f>
        <v>2850000</v>
      </c>
      <c r="N201" s="15">
        <f>N203</f>
        <v>0</v>
      </c>
      <c r="O201" s="15">
        <f>O203</f>
        <v>0</v>
      </c>
      <c r="P201" s="15">
        <f t="shared" si="18"/>
        <v>0</v>
      </c>
    </row>
    <row r="202" spans="1:16" ht="15.75">
      <c r="A202" s="14" t="s">
        <v>46</v>
      </c>
      <c r="B202" s="63" t="s">
        <v>45</v>
      </c>
      <c r="C202" s="63">
        <v>0</v>
      </c>
      <c r="D202" s="63">
        <v>14</v>
      </c>
      <c r="E202" s="63">
        <v>825</v>
      </c>
      <c r="F202" s="63" t="s">
        <v>13</v>
      </c>
      <c r="G202" s="63" t="s">
        <v>0</v>
      </c>
      <c r="H202" s="63" t="s">
        <v>0</v>
      </c>
      <c r="I202" s="63" t="s">
        <v>0</v>
      </c>
      <c r="J202" s="99"/>
      <c r="K202" s="99"/>
      <c r="L202" s="99"/>
      <c r="M202" s="15">
        <f aca="true" t="shared" si="24" ref="M202:O205">M203</f>
        <v>2850000</v>
      </c>
      <c r="N202" s="15">
        <f t="shared" si="24"/>
        <v>0</v>
      </c>
      <c r="O202" s="15">
        <f t="shared" si="24"/>
        <v>0</v>
      </c>
      <c r="P202" s="15">
        <f t="shared" si="18"/>
        <v>0</v>
      </c>
    </row>
    <row r="203" spans="1:16" ht="15.75">
      <c r="A203" s="14" t="s">
        <v>48</v>
      </c>
      <c r="B203" s="63" t="s">
        <v>45</v>
      </c>
      <c r="C203" s="63">
        <v>0</v>
      </c>
      <c r="D203" s="63">
        <v>14</v>
      </c>
      <c r="E203" s="63">
        <v>825</v>
      </c>
      <c r="F203" s="63" t="s">
        <v>13</v>
      </c>
      <c r="G203" s="63" t="s">
        <v>15</v>
      </c>
      <c r="H203" s="63" t="s">
        <v>0</v>
      </c>
      <c r="I203" s="63" t="s">
        <v>0</v>
      </c>
      <c r="J203" s="62"/>
      <c r="K203" s="12"/>
      <c r="L203" s="12"/>
      <c r="M203" s="15">
        <f t="shared" si="24"/>
        <v>2850000</v>
      </c>
      <c r="N203" s="15">
        <f t="shared" si="24"/>
        <v>0</v>
      </c>
      <c r="O203" s="15">
        <f t="shared" si="24"/>
        <v>0</v>
      </c>
      <c r="P203" s="15">
        <f t="shared" si="18"/>
        <v>0</v>
      </c>
    </row>
    <row r="204" spans="1:16" ht="31.5">
      <c r="A204" s="14" t="s">
        <v>27</v>
      </c>
      <c r="B204" s="63" t="s">
        <v>45</v>
      </c>
      <c r="C204" s="63">
        <v>0</v>
      </c>
      <c r="D204" s="63">
        <v>14</v>
      </c>
      <c r="E204" s="63">
        <v>825</v>
      </c>
      <c r="F204" s="63" t="s">
        <v>13</v>
      </c>
      <c r="G204" s="63" t="s">
        <v>15</v>
      </c>
      <c r="H204" s="63">
        <v>11260</v>
      </c>
      <c r="I204" s="63" t="s">
        <v>0</v>
      </c>
      <c r="J204" s="62"/>
      <c r="K204" s="12"/>
      <c r="L204" s="12"/>
      <c r="M204" s="15">
        <f t="shared" si="24"/>
        <v>2850000</v>
      </c>
      <c r="N204" s="15">
        <f t="shared" si="24"/>
        <v>0</v>
      </c>
      <c r="O204" s="15">
        <f t="shared" si="24"/>
        <v>0</v>
      </c>
      <c r="P204" s="15">
        <f t="shared" si="18"/>
        <v>0</v>
      </c>
    </row>
    <row r="205" spans="1:16" ht="51.75" customHeight="1">
      <c r="A205" s="14" t="s">
        <v>181</v>
      </c>
      <c r="B205" s="63" t="s">
        <v>45</v>
      </c>
      <c r="C205" s="63">
        <v>0</v>
      </c>
      <c r="D205" s="63">
        <v>14</v>
      </c>
      <c r="E205" s="63">
        <v>825</v>
      </c>
      <c r="F205" s="63" t="s">
        <v>13</v>
      </c>
      <c r="G205" s="63" t="s">
        <v>15</v>
      </c>
      <c r="H205" s="63">
        <v>11260</v>
      </c>
      <c r="I205" s="63">
        <v>465</v>
      </c>
      <c r="J205" s="62"/>
      <c r="K205" s="12"/>
      <c r="L205" s="12"/>
      <c r="M205" s="15">
        <f t="shared" si="24"/>
        <v>2850000</v>
      </c>
      <c r="N205" s="15">
        <f t="shared" si="24"/>
        <v>0</v>
      </c>
      <c r="O205" s="15">
        <f t="shared" si="24"/>
        <v>0</v>
      </c>
      <c r="P205" s="15">
        <f t="shared" si="18"/>
        <v>0</v>
      </c>
    </row>
    <row r="206" spans="1:16" ht="31.5">
      <c r="A206" s="105" t="s">
        <v>182</v>
      </c>
      <c r="B206" s="67">
        <v>25</v>
      </c>
      <c r="C206" s="67">
        <v>0</v>
      </c>
      <c r="D206" s="67">
        <v>14</v>
      </c>
      <c r="E206" s="67">
        <v>825</v>
      </c>
      <c r="F206" s="67" t="s">
        <v>13</v>
      </c>
      <c r="G206" s="67" t="s">
        <v>15</v>
      </c>
      <c r="H206" s="67">
        <v>11260</v>
      </c>
      <c r="I206" s="67">
        <v>465</v>
      </c>
      <c r="J206" s="62" t="s">
        <v>53</v>
      </c>
      <c r="K206" s="12">
        <v>260</v>
      </c>
      <c r="L206" s="12">
        <v>2019</v>
      </c>
      <c r="M206" s="29">
        <f>50000+2800000</f>
        <v>2850000</v>
      </c>
      <c r="N206" s="29">
        <v>0</v>
      </c>
      <c r="O206" s="29">
        <v>0</v>
      </c>
      <c r="P206" s="29">
        <f t="shared" si="18"/>
        <v>0</v>
      </c>
    </row>
    <row r="207" spans="1:16" ht="47.25" customHeight="1">
      <c r="A207" s="44" t="s">
        <v>124</v>
      </c>
      <c r="B207" s="63">
        <v>40</v>
      </c>
      <c r="C207" s="67"/>
      <c r="D207" s="67"/>
      <c r="E207" s="67"/>
      <c r="F207" s="67"/>
      <c r="G207" s="67"/>
      <c r="H207" s="67"/>
      <c r="I207" s="67"/>
      <c r="J207" s="12"/>
      <c r="K207" s="12"/>
      <c r="L207" s="12"/>
      <c r="M207" s="15">
        <f aca="true" t="shared" si="25" ref="M207:O214">M208</f>
        <v>327422633</v>
      </c>
      <c r="N207" s="15">
        <f t="shared" si="25"/>
        <v>47632545.72</v>
      </c>
      <c r="O207" s="15">
        <f t="shared" si="25"/>
        <v>42263721.61</v>
      </c>
      <c r="P207" s="15">
        <f t="shared" si="18"/>
        <v>12.908002486804266</v>
      </c>
    </row>
    <row r="208" spans="1:16" ht="33.75" customHeight="1">
      <c r="A208" s="44" t="s">
        <v>125</v>
      </c>
      <c r="B208" s="63">
        <v>40</v>
      </c>
      <c r="C208" s="63">
        <v>5</v>
      </c>
      <c r="D208" s="63"/>
      <c r="E208" s="67"/>
      <c r="F208" s="67"/>
      <c r="G208" s="67"/>
      <c r="H208" s="67"/>
      <c r="I208" s="67"/>
      <c r="J208" s="12"/>
      <c r="K208" s="12"/>
      <c r="L208" s="12"/>
      <c r="M208" s="15">
        <f t="shared" si="25"/>
        <v>327422633</v>
      </c>
      <c r="N208" s="15">
        <f t="shared" si="25"/>
        <v>47632545.72</v>
      </c>
      <c r="O208" s="15">
        <f t="shared" si="25"/>
        <v>42263721.61</v>
      </c>
      <c r="P208" s="15">
        <f t="shared" si="18"/>
        <v>12.908002486804266</v>
      </c>
    </row>
    <row r="209" spans="1:16" ht="51" customHeight="1">
      <c r="A209" s="44" t="s">
        <v>105</v>
      </c>
      <c r="B209" s="63">
        <v>40</v>
      </c>
      <c r="C209" s="63">
        <v>5</v>
      </c>
      <c r="D209" s="63">
        <v>51</v>
      </c>
      <c r="E209" s="67"/>
      <c r="F209" s="67"/>
      <c r="G209" s="67"/>
      <c r="H209" s="67"/>
      <c r="I209" s="67"/>
      <c r="J209" s="12"/>
      <c r="K209" s="12"/>
      <c r="L209" s="12"/>
      <c r="M209" s="15">
        <f t="shared" si="25"/>
        <v>327422633</v>
      </c>
      <c r="N209" s="15">
        <f t="shared" si="25"/>
        <v>47632545.72</v>
      </c>
      <c r="O209" s="15">
        <f t="shared" si="25"/>
        <v>42263721.61</v>
      </c>
      <c r="P209" s="15">
        <f t="shared" si="18"/>
        <v>12.908002486804266</v>
      </c>
    </row>
    <row r="210" spans="1:16" ht="30.75" customHeight="1">
      <c r="A210" s="14" t="s">
        <v>25</v>
      </c>
      <c r="B210" s="63">
        <v>40</v>
      </c>
      <c r="C210" s="63">
        <v>5</v>
      </c>
      <c r="D210" s="63">
        <v>51</v>
      </c>
      <c r="E210" s="63">
        <v>819</v>
      </c>
      <c r="F210" s="67"/>
      <c r="G210" s="67"/>
      <c r="H210" s="67"/>
      <c r="I210" s="67"/>
      <c r="J210" s="12"/>
      <c r="K210" s="12"/>
      <c r="L210" s="12"/>
      <c r="M210" s="15">
        <f t="shared" si="25"/>
        <v>327422633</v>
      </c>
      <c r="N210" s="15">
        <f t="shared" si="25"/>
        <v>47632545.72</v>
      </c>
      <c r="O210" s="15">
        <f t="shared" si="25"/>
        <v>42263721.61</v>
      </c>
      <c r="P210" s="15">
        <f t="shared" si="18"/>
        <v>12.908002486804266</v>
      </c>
    </row>
    <row r="211" spans="1:16" ht="31.5">
      <c r="A211" s="14" t="s">
        <v>54</v>
      </c>
      <c r="B211" s="63">
        <v>40</v>
      </c>
      <c r="C211" s="63">
        <v>5</v>
      </c>
      <c r="D211" s="63">
        <v>51</v>
      </c>
      <c r="E211" s="63">
        <v>819</v>
      </c>
      <c r="F211" s="67"/>
      <c r="G211" s="67"/>
      <c r="H211" s="67"/>
      <c r="I211" s="67"/>
      <c r="J211" s="12"/>
      <c r="K211" s="12"/>
      <c r="L211" s="12"/>
      <c r="M211" s="15">
        <f t="shared" si="25"/>
        <v>327422633</v>
      </c>
      <c r="N211" s="15">
        <f t="shared" si="25"/>
        <v>47632545.72</v>
      </c>
      <c r="O211" s="15">
        <f t="shared" si="25"/>
        <v>42263721.61</v>
      </c>
      <c r="P211" s="15">
        <f t="shared" si="18"/>
        <v>12.908002486804266</v>
      </c>
    </row>
    <row r="212" spans="1:16" ht="15.75">
      <c r="A212" s="14" t="s">
        <v>18</v>
      </c>
      <c r="B212" s="63">
        <v>40</v>
      </c>
      <c r="C212" s="63">
        <v>5</v>
      </c>
      <c r="D212" s="63">
        <v>51</v>
      </c>
      <c r="E212" s="63">
        <v>819</v>
      </c>
      <c r="F212" s="166" t="s">
        <v>16</v>
      </c>
      <c r="G212" s="67"/>
      <c r="H212" s="67"/>
      <c r="I212" s="67"/>
      <c r="J212" s="12"/>
      <c r="K212" s="12"/>
      <c r="L212" s="12"/>
      <c r="M212" s="15">
        <f t="shared" si="25"/>
        <v>327422633</v>
      </c>
      <c r="N212" s="15">
        <f t="shared" si="25"/>
        <v>47632545.72</v>
      </c>
      <c r="O212" s="15">
        <f t="shared" si="25"/>
        <v>42263721.61</v>
      </c>
      <c r="P212" s="15">
        <f t="shared" si="18"/>
        <v>12.908002486804266</v>
      </c>
    </row>
    <row r="213" spans="1:16" ht="23.25" customHeight="1">
      <c r="A213" s="14" t="s">
        <v>78</v>
      </c>
      <c r="B213" s="63">
        <v>40</v>
      </c>
      <c r="C213" s="63">
        <v>5</v>
      </c>
      <c r="D213" s="63">
        <v>51</v>
      </c>
      <c r="E213" s="63">
        <v>819</v>
      </c>
      <c r="F213" s="166" t="s">
        <v>16</v>
      </c>
      <c r="G213" s="63">
        <v>12</v>
      </c>
      <c r="H213" s="67"/>
      <c r="I213" s="67"/>
      <c r="J213" s="12"/>
      <c r="K213" s="12"/>
      <c r="L213" s="12"/>
      <c r="M213" s="15">
        <f t="shared" si="25"/>
        <v>327422633</v>
      </c>
      <c r="N213" s="15">
        <f t="shared" si="25"/>
        <v>47632545.72</v>
      </c>
      <c r="O213" s="15">
        <f t="shared" si="25"/>
        <v>42263721.61</v>
      </c>
      <c r="P213" s="15">
        <f t="shared" si="18"/>
        <v>12.908002486804266</v>
      </c>
    </row>
    <row r="214" spans="1:16" ht="30.75" customHeight="1">
      <c r="A214" s="44" t="s">
        <v>126</v>
      </c>
      <c r="B214" s="63">
        <v>40</v>
      </c>
      <c r="C214" s="63">
        <v>5</v>
      </c>
      <c r="D214" s="63">
        <v>51</v>
      </c>
      <c r="E214" s="63" t="s">
        <v>26</v>
      </c>
      <c r="F214" s="166" t="s">
        <v>16</v>
      </c>
      <c r="G214" s="63">
        <v>12</v>
      </c>
      <c r="H214" s="63" t="s">
        <v>292</v>
      </c>
      <c r="I214" s="63" t="s">
        <v>0</v>
      </c>
      <c r="J214" s="12"/>
      <c r="K214" s="12"/>
      <c r="L214" s="12"/>
      <c r="M214" s="15">
        <f t="shared" si="25"/>
        <v>327422633</v>
      </c>
      <c r="N214" s="15">
        <f t="shared" si="25"/>
        <v>47632545.72</v>
      </c>
      <c r="O214" s="15">
        <f t="shared" si="25"/>
        <v>42263721.61</v>
      </c>
      <c r="P214" s="15">
        <f t="shared" si="18"/>
        <v>12.908002486804266</v>
      </c>
    </row>
    <row r="215" spans="1:16" ht="47.25">
      <c r="A215" s="44" t="s">
        <v>28</v>
      </c>
      <c r="B215" s="63">
        <v>40</v>
      </c>
      <c r="C215" s="63">
        <v>5</v>
      </c>
      <c r="D215" s="63">
        <v>51</v>
      </c>
      <c r="E215" s="63" t="s">
        <v>26</v>
      </c>
      <c r="F215" s="166" t="s">
        <v>16</v>
      </c>
      <c r="G215" s="63">
        <v>12</v>
      </c>
      <c r="H215" s="63" t="s">
        <v>292</v>
      </c>
      <c r="I215" s="63" t="s">
        <v>29</v>
      </c>
      <c r="J215" s="62"/>
      <c r="K215" s="62"/>
      <c r="L215" s="62"/>
      <c r="M215" s="15">
        <f>M216</f>
        <v>327422633</v>
      </c>
      <c r="N215" s="15">
        <f>N216</f>
        <v>47632545.72</v>
      </c>
      <c r="O215" s="15">
        <f>O216</f>
        <v>42263721.61</v>
      </c>
      <c r="P215" s="15">
        <f t="shared" si="18"/>
        <v>12.908002486804266</v>
      </c>
    </row>
    <row r="216" spans="1:16" ht="32.25" customHeight="1">
      <c r="A216" s="185" t="s">
        <v>133</v>
      </c>
      <c r="B216" s="67">
        <v>40</v>
      </c>
      <c r="C216" s="67">
        <v>5</v>
      </c>
      <c r="D216" s="67">
        <v>51</v>
      </c>
      <c r="E216" s="67" t="s">
        <v>26</v>
      </c>
      <c r="F216" s="172" t="s">
        <v>16</v>
      </c>
      <c r="G216" s="67">
        <v>12</v>
      </c>
      <c r="H216" s="67" t="s">
        <v>292</v>
      </c>
      <c r="I216" s="67" t="s">
        <v>29</v>
      </c>
      <c r="J216" s="12" t="s">
        <v>84</v>
      </c>
      <c r="K216" s="12">
        <v>20173</v>
      </c>
      <c r="L216" s="12">
        <v>2017</v>
      </c>
      <c r="M216" s="29">
        <f>M218+M219</f>
        <v>327422633</v>
      </c>
      <c r="N216" s="29">
        <f>N218+N219</f>
        <v>47632545.72</v>
      </c>
      <c r="O216" s="29">
        <f>O218+O219</f>
        <v>42263721.61</v>
      </c>
      <c r="P216" s="29">
        <f>O216/M216*100</f>
        <v>12.908002486804266</v>
      </c>
    </row>
    <row r="217" spans="1:16" ht="15.75" customHeight="1">
      <c r="A217" s="78" t="s">
        <v>49</v>
      </c>
      <c r="B217" s="67"/>
      <c r="C217" s="67"/>
      <c r="D217" s="67"/>
      <c r="E217" s="67"/>
      <c r="F217" s="172"/>
      <c r="G217" s="67"/>
      <c r="H217" s="67"/>
      <c r="I217" s="67"/>
      <c r="J217" s="12"/>
      <c r="K217" s="12"/>
      <c r="L217" s="12"/>
      <c r="M217" s="29"/>
      <c r="N217" s="29"/>
      <c r="O217" s="29"/>
      <c r="P217" s="29"/>
    </row>
    <row r="218" spans="1:16" ht="18.75" customHeight="1">
      <c r="A218" s="78" t="s">
        <v>345</v>
      </c>
      <c r="B218" s="67"/>
      <c r="C218" s="67"/>
      <c r="D218" s="67"/>
      <c r="E218" s="67"/>
      <c r="F218" s="172"/>
      <c r="G218" s="67"/>
      <c r="H218" s="67"/>
      <c r="I218" s="67"/>
      <c r="J218" s="12"/>
      <c r="K218" s="12"/>
      <c r="L218" s="12"/>
      <c r="M218" s="29">
        <v>266081330</v>
      </c>
      <c r="N218" s="29">
        <v>17068152.48</v>
      </c>
      <c r="O218" s="29">
        <v>12289899.03</v>
      </c>
      <c r="P218" s="29">
        <f>O218/M218*100</f>
        <v>4.618850570988952</v>
      </c>
    </row>
    <row r="219" spans="1:16" ht="19.5" customHeight="1">
      <c r="A219" s="78" t="s">
        <v>346</v>
      </c>
      <c r="B219" s="67"/>
      <c r="C219" s="67"/>
      <c r="D219" s="67"/>
      <c r="E219" s="67"/>
      <c r="F219" s="172"/>
      <c r="G219" s="67"/>
      <c r="H219" s="67"/>
      <c r="I219" s="67"/>
      <c r="J219" s="12"/>
      <c r="K219" s="12"/>
      <c r="L219" s="12"/>
      <c r="M219" s="29">
        <f>34719790+26621513</f>
        <v>61341303</v>
      </c>
      <c r="N219" s="29">
        <v>30564393.24</v>
      </c>
      <c r="O219" s="29">
        <v>29973822.58</v>
      </c>
      <c r="P219" s="29">
        <f>O219/M219*100</f>
        <v>48.86401350163689</v>
      </c>
    </row>
    <row r="220" spans="1:16" ht="30" customHeight="1">
      <c r="A220" s="186"/>
      <c r="B220" s="187"/>
      <c r="C220" s="187"/>
      <c r="D220" s="187"/>
      <c r="E220" s="187"/>
      <c r="F220" s="187"/>
      <c r="G220" s="187"/>
      <c r="H220" s="187"/>
      <c r="I220" s="187"/>
      <c r="J220" s="188"/>
      <c r="K220" s="189"/>
      <c r="L220" s="189"/>
      <c r="M220" s="189"/>
      <c r="N220" s="187"/>
      <c r="O220" s="187"/>
      <c r="P220" s="187"/>
    </row>
    <row r="221" spans="1:12" ht="20.25">
      <c r="A221" s="190"/>
      <c r="B221" s="191"/>
      <c r="C221" s="191"/>
      <c r="D221" s="191"/>
      <c r="E221" s="191"/>
      <c r="F221" s="191"/>
      <c r="G221" s="191"/>
      <c r="H221" s="191"/>
      <c r="I221" s="191"/>
      <c r="J221" s="192"/>
      <c r="K221" s="192"/>
      <c r="L221" s="191"/>
    </row>
    <row r="222" spans="1:12" ht="10.5" customHeight="1">
      <c r="A222" s="186"/>
      <c r="B222" s="191"/>
      <c r="C222" s="191"/>
      <c r="D222" s="191"/>
      <c r="E222" s="191"/>
      <c r="F222" s="191"/>
      <c r="G222" s="191"/>
      <c r="H222" s="191"/>
      <c r="I222" s="191"/>
      <c r="J222" s="192"/>
      <c r="K222" s="192"/>
      <c r="L222" s="191"/>
    </row>
    <row r="223" spans="1:16" ht="12.75" customHeight="1">
      <c r="A223" s="121"/>
      <c r="B223" s="191"/>
      <c r="C223" s="191"/>
      <c r="D223" s="191"/>
      <c r="E223" s="191"/>
      <c r="F223" s="191"/>
      <c r="G223" s="191"/>
      <c r="H223" s="191"/>
      <c r="I223" s="191"/>
      <c r="J223" s="192"/>
      <c r="K223" s="192"/>
      <c r="L223" s="193"/>
      <c r="M223" s="193"/>
      <c r="N223" s="194"/>
      <c r="O223" s="194"/>
      <c r="P223" s="194"/>
    </row>
    <row r="224" ht="20.25" customHeight="1">
      <c r="A224" s="121"/>
    </row>
    <row r="227" spans="1:13" s="21" customFormat="1" ht="15.75">
      <c r="A227" s="133" t="s">
        <v>428</v>
      </c>
      <c r="B227" s="134"/>
      <c r="C227" s="134"/>
      <c r="D227" s="134"/>
      <c r="E227" s="134"/>
      <c r="F227" s="134"/>
      <c r="G227" s="134"/>
      <c r="H227" s="134"/>
      <c r="I227" s="134"/>
      <c r="J227" s="119"/>
      <c r="K227" s="119"/>
      <c r="L227" s="134"/>
      <c r="M227" s="21" t="s">
        <v>429</v>
      </c>
    </row>
    <row r="248" ht="45" customHeight="1"/>
    <row r="249" ht="15.75">
      <c r="A249" s="133" t="s">
        <v>431</v>
      </c>
    </row>
    <row r="250" ht="12.75">
      <c r="A250" s="135" t="s">
        <v>430</v>
      </c>
    </row>
  </sheetData>
  <sheetProtection/>
  <autoFilter ref="A7:M221"/>
  <mergeCells count="14">
    <mergeCell ref="L223:M223"/>
    <mergeCell ref="A223:A224"/>
    <mergeCell ref="K220:M220"/>
    <mergeCell ref="A6:P6"/>
    <mergeCell ref="A125:A126"/>
    <mergeCell ref="A168:A169"/>
    <mergeCell ref="A164:A165"/>
    <mergeCell ref="A162:A163"/>
    <mergeCell ref="A160:A161"/>
    <mergeCell ref="A158:A159"/>
    <mergeCell ref="A2:P2"/>
    <mergeCell ref="A3:P3"/>
    <mergeCell ref="A4:P4"/>
    <mergeCell ref="A5:P5"/>
  </mergeCells>
  <printOptions horizontalCentered="1"/>
  <pageMargins left="0.5905511811023623" right="0.2362204724409449" top="0.5905511811023623" bottom="0.3937007874015748" header="0" footer="0.11811023622047245"/>
  <pageSetup fitToHeight="0" fitToWidth="1" horizontalDpi="600" verticalDpi="600" orientation="landscape" paperSize="9" scale="64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79"/>
  <sheetViews>
    <sheetView view="pageBreakPreview" zoomScale="89" zoomScaleNormal="79" zoomScaleSheetLayoutView="89" workbookViewId="0" topLeftCell="A7">
      <pane xSplit="1" ySplit="3" topLeftCell="B450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A7" sqref="A1:IV16384"/>
    </sheetView>
  </sheetViews>
  <sheetFormatPr defaultColWidth="9.33203125" defaultRowHeight="12.75"/>
  <cols>
    <col min="1" max="1" width="84.5" style="119" customWidth="1"/>
    <col min="2" max="2" width="4.83203125" style="114" customWidth="1"/>
    <col min="3" max="4" width="5.83203125" style="114" customWidth="1"/>
    <col min="5" max="5" width="7.66015625" style="114" customWidth="1"/>
    <col min="6" max="6" width="6.66015625" style="114" customWidth="1"/>
    <col min="7" max="7" width="5.83203125" style="114" customWidth="1"/>
    <col min="8" max="8" width="11.83203125" style="114" hidden="1" customWidth="1"/>
    <col min="9" max="9" width="5.66015625" style="114" hidden="1" customWidth="1"/>
    <col min="10" max="10" width="12.33203125" style="1" hidden="1" customWidth="1"/>
    <col min="11" max="11" width="9.5" style="1" hidden="1" customWidth="1"/>
    <col min="12" max="12" width="8.83203125" style="1" hidden="1" customWidth="1"/>
    <col min="13" max="16" width="22.83203125" style="1" customWidth="1"/>
    <col min="17" max="16384" width="9.33203125" style="1" customWidth="1"/>
  </cols>
  <sheetData>
    <row r="1" spans="1:15" ht="15.75">
      <c r="A1" s="118"/>
      <c r="B1" s="34"/>
      <c r="C1" s="34"/>
      <c r="D1" s="34"/>
      <c r="E1" s="34"/>
      <c r="F1" s="34"/>
      <c r="G1" s="34"/>
      <c r="H1" s="34"/>
      <c r="I1" s="34"/>
      <c r="J1" s="35"/>
      <c r="K1" s="35"/>
      <c r="L1" s="34"/>
      <c r="O1" s="21" t="s">
        <v>389</v>
      </c>
    </row>
    <row r="2" spans="1:16" ht="19.5" customHeight="1">
      <c r="A2" s="122" t="s">
        <v>380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9.5" customHeight="1">
      <c r="A3" s="123" t="s">
        <v>381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9.5" customHeight="1">
      <c r="A4" s="123" t="s">
        <v>387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9.5" customHeight="1">
      <c r="A5" s="123" t="s">
        <v>390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23.25" customHeight="1">
      <c r="A6" s="124" t="s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1:16" ht="36">
      <c r="A7" s="36" t="s">
        <v>2</v>
      </c>
      <c r="B7" s="19" t="s">
        <v>3</v>
      </c>
      <c r="C7" s="19" t="s">
        <v>4</v>
      </c>
      <c r="D7" s="19" t="s">
        <v>98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37" t="s">
        <v>50</v>
      </c>
      <c r="K7" s="38" t="s">
        <v>51</v>
      </c>
      <c r="L7" s="37" t="s">
        <v>52</v>
      </c>
      <c r="M7" s="18" t="s">
        <v>383</v>
      </c>
      <c r="N7" s="18" t="s">
        <v>384</v>
      </c>
      <c r="O7" s="18" t="s">
        <v>385</v>
      </c>
      <c r="P7" s="18" t="s">
        <v>386</v>
      </c>
    </row>
    <row r="8" spans="1:16" ht="16.5" customHeight="1">
      <c r="A8" s="36" t="s">
        <v>10</v>
      </c>
      <c r="B8" s="19" t="s">
        <v>11</v>
      </c>
      <c r="C8" s="19" t="s">
        <v>12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8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</row>
    <row r="9" spans="1:16" ht="15.75">
      <c r="A9" s="39" t="s">
        <v>69</v>
      </c>
      <c r="B9" s="40"/>
      <c r="C9" s="40"/>
      <c r="D9" s="40"/>
      <c r="E9" s="40"/>
      <c r="F9" s="40"/>
      <c r="G9" s="40"/>
      <c r="H9" s="40"/>
      <c r="I9" s="40"/>
      <c r="J9" s="41"/>
      <c r="K9" s="41"/>
      <c r="L9" s="42"/>
      <c r="M9" s="23">
        <f>M13+M27+M70+M86+M109+M345+M429+M449</f>
        <v>1356599271.6599998</v>
      </c>
      <c r="N9" s="23">
        <f>N13+N27+N70+N86+N109+N345+N429+N449</f>
        <v>667856422.62</v>
      </c>
      <c r="O9" s="23">
        <f>O13+O27+O70+O86+O109+O345+O429+O449</f>
        <v>595816645.35</v>
      </c>
      <c r="P9" s="25">
        <f>O9/M9*100</f>
        <v>43.91987064985891</v>
      </c>
    </row>
    <row r="10" spans="1:16" ht="15.75">
      <c r="A10" s="43" t="s">
        <v>49</v>
      </c>
      <c r="B10" s="11"/>
      <c r="C10" s="11"/>
      <c r="D10" s="11"/>
      <c r="E10" s="11"/>
      <c r="F10" s="11"/>
      <c r="G10" s="11"/>
      <c r="H10" s="11"/>
      <c r="I10" s="11"/>
      <c r="J10" s="42"/>
      <c r="K10" s="42"/>
      <c r="L10" s="42"/>
      <c r="M10" s="24"/>
      <c r="N10" s="25"/>
      <c r="O10" s="25"/>
      <c r="P10" s="25"/>
    </row>
    <row r="11" spans="1:16" ht="15.75">
      <c r="A11" s="44" t="s">
        <v>345</v>
      </c>
      <c r="B11" s="11"/>
      <c r="C11" s="11"/>
      <c r="D11" s="11"/>
      <c r="E11" s="11"/>
      <c r="F11" s="11"/>
      <c r="G11" s="11"/>
      <c r="H11" s="11"/>
      <c r="I11" s="11"/>
      <c r="J11" s="42"/>
      <c r="K11" s="42"/>
      <c r="L11" s="42"/>
      <c r="M11" s="25">
        <f>M122+M126+M130+M145+M150+M157+M162+M167+M171+M176+M180+M185+M208+M212+M217+M222+M227+M232+M237+M242+M246+M251+M262+M271+M275+M282+M289+M294+M299+M304+M309+M314+M320+M325+M330+M343+M438+M443+M447</f>
        <v>629268292.4</v>
      </c>
      <c r="N11" s="25">
        <f>N122+N126+N130+N145+N150+N157+N162+N167+N171+N176+N180+N185+N208+N212+N217+N222+N227+N232+N237+N242+N246+N251+N262+N271+N275+N282+N289+N294+N299+N304+N309+N314+N320+N325+N330+N343+N438+N443+N447</f>
        <v>484720020.65</v>
      </c>
      <c r="O11" s="25">
        <f>O122+O126+O130+O145+O150+O157+O162+O167+O171+O176+O180+O185+O208+O212+O217+O222+O227+O232+O237+O242+O246+O251+O262+O271+O275+O282+O289+O294+O299+O304+O309+O314+O320+O325+O330+O343+O438+O443+O447</f>
        <v>434218434.0799999</v>
      </c>
      <c r="P11" s="25">
        <f>O11/M11*100</f>
        <v>69.00370467164507</v>
      </c>
    </row>
    <row r="12" spans="1:16" ht="16.5" customHeight="1">
      <c r="A12" s="44" t="s">
        <v>346</v>
      </c>
      <c r="B12" s="11"/>
      <c r="C12" s="11"/>
      <c r="D12" s="11"/>
      <c r="E12" s="11"/>
      <c r="F12" s="11"/>
      <c r="G12" s="11"/>
      <c r="H12" s="11"/>
      <c r="I12" s="11"/>
      <c r="J12" s="42"/>
      <c r="K12" s="42"/>
      <c r="L12" s="42"/>
      <c r="M12" s="25">
        <f>M14+M27+M70+M86+M118+M123+M127+M131+M146+M151+M158+M163+M168+M172+M177+M181+M186+M204+M209+M213+M218+M223+M228+M233+M238+M243+M247+M252+M263+M272+M276+M278+M283+M290+M295+M300+M305+M310+M315+M321+M326+M331+M344+M346+M366+M420+M439+M444+M448+M454+M462</f>
        <v>727330979.2599999</v>
      </c>
      <c r="N12" s="25">
        <f>N14+N27+N70+N86+N118+N123+N127+N131+N146+N151+N158+N163+N168+N172+N177+N181+N186+N204+N209+N213+N218+N223+N228+N233+N238+N243+N247+N252+N263+N272+N276+N278+N283+N290+N295+N300+N305+N310+N315+N321+N326+N331+N344+N346+N366+N420+N439+N444+N448+N454+N462</f>
        <v>183136401.96999994</v>
      </c>
      <c r="O12" s="25">
        <f>O14+O27+O70+O86+O118+O123+O127+O131+O146+O151+O158+O163+O168+O172+O177+O181+O186+O204+O209+O213+O218+O223+O228+O233+O238+O243+O247+O252+O263+O272+O276+O278+O283+O290+O295+O300+O305+O310+O315+O321+O326+O331+O344+O346+O366+O420+O439+O444+O448+O454+O462</f>
        <v>161598211.26999998</v>
      </c>
      <c r="P12" s="25">
        <f>O12/M12*100</f>
        <v>22.217974468021836</v>
      </c>
    </row>
    <row r="13" spans="1:16" ht="36.75" customHeight="1">
      <c r="A13" s="45" t="s">
        <v>200</v>
      </c>
      <c r="B13" s="46" t="s">
        <v>19</v>
      </c>
      <c r="C13" s="40"/>
      <c r="D13" s="40"/>
      <c r="E13" s="11"/>
      <c r="F13" s="11"/>
      <c r="G13" s="11"/>
      <c r="H13" s="11"/>
      <c r="I13" s="11"/>
      <c r="J13" s="42"/>
      <c r="K13" s="42"/>
      <c r="L13" s="42"/>
      <c r="M13" s="25">
        <f>M15</f>
        <v>25105865</v>
      </c>
      <c r="N13" s="25">
        <f>N15</f>
        <v>5922693.0600000005</v>
      </c>
      <c r="O13" s="25">
        <f>O15</f>
        <v>5922693.0600000005</v>
      </c>
      <c r="P13" s="25">
        <f aca="true" t="shared" si="0" ref="P13:P35">O13/M13*100</f>
        <v>23.590874323589333</v>
      </c>
    </row>
    <row r="14" spans="1:16" ht="63.75" customHeight="1">
      <c r="A14" s="45" t="s">
        <v>201</v>
      </c>
      <c r="B14" s="46" t="s">
        <v>19</v>
      </c>
      <c r="C14" s="40">
        <v>0</v>
      </c>
      <c r="D14" s="40">
        <v>51</v>
      </c>
      <c r="E14" s="11"/>
      <c r="F14" s="11"/>
      <c r="G14" s="11"/>
      <c r="H14" s="11"/>
      <c r="I14" s="11"/>
      <c r="J14" s="42"/>
      <c r="K14" s="42"/>
      <c r="L14" s="42"/>
      <c r="M14" s="25">
        <f>M15</f>
        <v>25105865</v>
      </c>
      <c r="N14" s="25">
        <f>N15</f>
        <v>5922693.0600000005</v>
      </c>
      <c r="O14" s="25">
        <f>O15</f>
        <v>5922693.0600000005</v>
      </c>
      <c r="P14" s="25">
        <f t="shared" si="0"/>
        <v>23.590874323589333</v>
      </c>
    </row>
    <row r="15" spans="1:16" ht="18" customHeight="1">
      <c r="A15" s="45" t="s">
        <v>202</v>
      </c>
      <c r="B15" s="46" t="s">
        <v>19</v>
      </c>
      <c r="C15" s="40">
        <v>0</v>
      </c>
      <c r="D15" s="40">
        <v>51</v>
      </c>
      <c r="E15" s="40">
        <v>808</v>
      </c>
      <c r="F15" s="40"/>
      <c r="G15" s="40"/>
      <c r="H15" s="40"/>
      <c r="I15" s="40"/>
      <c r="J15" s="41"/>
      <c r="K15" s="42"/>
      <c r="L15" s="42"/>
      <c r="M15" s="25">
        <f>M17</f>
        <v>25105865</v>
      </c>
      <c r="N15" s="25">
        <f>N17</f>
        <v>5922693.0600000005</v>
      </c>
      <c r="O15" s="25">
        <f>O17</f>
        <v>5922693.0600000005</v>
      </c>
      <c r="P15" s="25">
        <f t="shared" si="0"/>
        <v>23.590874323589333</v>
      </c>
    </row>
    <row r="16" spans="1:16" ht="19.5" customHeight="1">
      <c r="A16" s="45" t="s">
        <v>203</v>
      </c>
      <c r="B16" s="40" t="s">
        <v>19</v>
      </c>
      <c r="C16" s="40">
        <v>0</v>
      </c>
      <c r="D16" s="40">
        <v>51</v>
      </c>
      <c r="E16" s="40" t="s">
        <v>204</v>
      </c>
      <c r="F16" s="40" t="s">
        <v>205</v>
      </c>
      <c r="G16" s="40"/>
      <c r="H16" s="40"/>
      <c r="I16" s="40"/>
      <c r="J16" s="41"/>
      <c r="K16" s="42"/>
      <c r="L16" s="42"/>
      <c r="M16" s="25">
        <f aca="true" t="shared" si="1" ref="M16:O17">M17</f>
        <v>25105865</v>
      </c>
      <c r="N16" s="25">
        <f t="shared" si="1"/>
        <v>5922693.0600000005</v>
      </c>
      <c r="O16" s="25">
        <f t="shared" si="1"/>
        <v>5922693.0600000005</v>
      </c>
      <c r="P16" s="25">
        <f t="shared" si="0"/>
        <v>23.590874323589333</v>
      </c>
    </row>
    <row r="17" spans="1:16" ht="19.5" customHeight="1">
      <c r="A17" s="45" t="s">
        <v>206</v>
      </c>
      <c r="B17" s="40" t="s">
        <v>19</v>
      </c>
      <c r="C17" s="40">
        <v>0</v>
      </c>
      <c r="D17" s="40">
        <v>51</v>
      </c>
      <c r="E17" s="40" t="s">
        <v>204</v>
      </c>
      <c r="F17" s="40" t="s">
        <v>205</v>
      </c>
      <c r="G17" s="40" t="s">
        <v>17</v>
      </c>
      <c r="H17" s="40" t="s">
        <v>0</v>
      </c>
      <c r="I17" s="40"/>
      <c r="J17" s="41"/>
      <c r="K17" s="42"/>
      <c r="L17" s="42"/>
      <c r="M17" s="25">
        <f t="shared" si="1"/>
        <v>25105865</v>
      </c>
      <c r="N17" s="25">
        <f t="shared" si="1"/>
        <v>5922693.0600000005</v>
      </c>
      <c r="O17" s="25">
        <f t="shared" si="1"/>
        <v>5922693.0600000005</v>
      </c>
      <c r="P17" s="25">
        <f t="shared" si="0"/>
        <v>23.590874323589333</v>
      </c>
    </row>
    <row r="18" spans="1:16" ht="33.75" customHeight="1">
      <c r="A18" s="45" t="s">
        <v>70</v>
      </c>
      <c r="B18" s="40" t="s">
        <v>19</v>
      </c>
      <c r="C18" s="40">
        <v>0</v>
      </c>
      <c r="D18" s="40">
        <v>51</v>
      </c>
      <c r="E18" s="40" t="s">
        <v>204</v>
      </c>
      <c r="F18" s="40" t="s">
        <v>205</v>
      </c>
      <c r="G18" s="40" t="s">
        <v>17</v>
      </c>
      <c r="H18" s="40">
        <v>12800</v>
      </c>
      <c r="I18" s="40" t="s">
        <v>71</v>
      </c>
      <c r="J18" s="41"/>
      <c r="K18" s="41"/>
      <c r="L18" s="42"/>
      <c r="M18" s="25">
        <f>M19+M21+M23+M25</f>
        <v>25105865</v>
      </c>
      <c r="N18" s="25">
        <f>N19+N21+N23+N25</f>
        <v>5922693.0600000005</v>
      </c>
      <c r="O18" s="25">
        <f>O19+O21+O23+O25</f>
        <v>5922693.0600000005</v>
      </c>
      <c r="P18" s="25">
        <f t="shared" si="0"/>
        <v>23.590874323589333</v>
      </c>
    </row>
    <row r="19" spans="1:16" ht="16.5" customHeight="1" hidden="1">
      <c r="A19" s="2" t="s">
        <v>63</v>
      </c>
      <c r="B19" s="3"/>
      <c r="C19" s="4"/>
      <c r="D19" s="4"/>
      <c r="E19" s="3"/>
      <c r="F19" s="3"/>
      <c r="G19" s="3"/>
      <c r="H19" s="3"/>
      <c r="I19" s="3"/>
      <c r="J19" s="5"/>
      <c r="K19" s="5"/>
      <c r="L19" s="5"/>
      <c r="M19" s="26">
        <f>M20</f>
        <v>0</v>
      </c>
      <c r="N19" s="26">
        <f>N20</f>
        <v>0</v>
      </c>
      <c r="O19" s="26">
        <f>O20</f>
        <v>0</v>
      </c>
      <c r="P19" s="25" t="e">
        <f t="shared" si="0"/>
        <v>#DIV/0!</v>
      </c>
    </row>
    <row r="20" spans="1:16" ht="19.5" customHeight="1" hidden="1">
      <c r="A20" s="6" t="s">
        <v>207</v>
      </c>
      <c r="B20" s="3" t="s">
        <v>19</v>
      </c>
      <c r="C20" s="4" t="s">
        <v>208</v>
      </c>
      <c r="D20" s="4" t="s">
        <v>209</v>
      </c>
      <c r="E20" s="3" t="s">
        <v>204</v>
      </c>
      <c r="F20" s="3" t="s">
        <v>205</v>
      </c>
      <c r="G20" s="3" t="s">
        <v>17</v>
      </c>
      <c r="H20" s="3">
        <v>12800</v>
      </c>
      <c r="I20" s="3" t="s">
        <v>71</v>
      </c>
      <c r="J20" s="5" t="s">
        <v>210</v>
      </c>
      <c r="K20" s="5">
        <v>3600</v>
      </c>
      <c r="L20" s="5">
        <v>2020</v>
      </c>
      <c r="M20" s="27"/>
      <c r="N20" s="26"/>
      <c r="O20" s="26"/>
      <c r="P20" s="25"/>
    </row>
    <row r="21" spans="1:16" ht="16.5" customHeight="1">
      <c r="A21" s="2" t="s">
        <v>107</v>
      </c>
      <c r="B21" s="3"/>
      <c r="C21" s="4"/>
      <c r="D21" s="4"/>
      <c r="E21" s="3"/>
      <c r="F21" s="3"/>
      <c r="G21" s="3"/>
      <c r="H21" s="3"/>
      <c r="I21" s="3"/>
      <c r="J21" s="5"/>
      <c r="K21" s="5"/>
      <c r="L21" s="5"/>
      <c r="M21" s="26">
        <f>M22</f>
        <v>5464832</v>
      </c>
      <c r="N21" s="26">
        <f>N22</f>
        <v>0</v>
      </c>
      <c r="O21" s="26">
        <f>O22</f>
        <v>0</v>
      </c>
      <c r="P21" s="25">
        <f t="shared" si="0"/>
        <v>0</v>
      </c>
    </row>
    <row r="22" spans="1:16" ht="15.75" customHeight="1">
      <c r="A22" s="6" t="s">
        <v>356</v>
      </c>
      <c r="B22" s="3" t="s">
        <v>19</v>
      </c>
      <c r="C22" s="4" t="s">
        <v>208</v>
      </c>
      <c r="D22" s="4" t="s">
        <v>209</v>
      </c>
      <c r="E22" s="3" t="s">
        <v>204</v>
      </c>
      <c r="F22" s="3" t="s">
        <v>205</v>
      </c>
      <c r="G22" s="3" t="s">
        <v>17</v>
      </c>
      <c r="H22" s="3">
        <v>12800</v>
      </c>
      <c r="I22" s="3" t="s">
        <v>71</v>
      </c>
      <c r="J22" s="5" t="s">
        <v>244</v>
      </c>
      <c r="K22" s="5">
        <v>5</v>
      </c>
      <c r="L22" s="5">
        <v>2018</v>
      </c>
      <c r="M22" s="27">
        <v>5464832</v>
      </c>
      <c r="N22" s="27">
        <v>0</v>
      </c>
      <c r="O22" s="27">
        <v>0</v>
      </c>
      <c r="P22" s="24">
        <f t="shared" si="0"/>
        <v>0</v>
      </c>
    </row>
    <row r="23" spans="1:16" ht="17.25" customHeight="1">
      <c r="A23" s="7" t="s">
        <v>191</v>
      </c>
      <c r="B23" s="3"/>
      <c r="C23" s="4"/>
      <c r="D23" s="4"/>
      <c r="E23" s="3"/>
      <c r="F23" s="3"/>
      <c r="G23" s="3"/>
      <c r="H23" s="3"/>
      <c r="I23" s="3"/>
      <c r="J23" s="5"/>
      <c r="K23" s="5"/>
      <c r="L23" s="5"/>
      <c r="M23" s="26">
        <f>M24</f>
        <v>12178800</v>
      </c>
      <c r="N23" s="26">
        <f>N24</f>
        <v>2744914.56</v>
      </c>
      <c r="O23" s="26">
        <f>O24</f>
        <v>2744914.56</v>
      </c>
      <c r="P23" s="25">
        <f t="shared" si="0"/>
        <v>22.53846487338654</v>
      </c>
    </row>
    <row r="24" spans="1:16" ht="18.75" customHeight="1">
      <c r="A24" s="6" t="s">
        <v>211</v>
      </c>
      <c r="B24" s="3" t="s">
        <v>19</v>
      </c>
      <c r="C24" s="4" t="s">
        <v>208</v>
      </c>
      <c r="D24" s="4" t="s">
        <v>209</v>
      </c>
      <c r="E24" s="3" t="s">
        <v>204</v>
      </c>
      <c r="F24" s="3" t="s">
        <v>205</v>
      </c>
      <c r="G24" s="3" t="s">
        <v>17</v>
      </c>
      <c r="H24" s="3">
        <v>12800</v>
      </c>
      <c r="I24" s="3" t="s">
        <v>71</v>
      </c>
      <c r="J24" s="5" t="s">
        <v>244</v>
      </c>
      <c r="K24" s="5">
        <v>5</v>
      </c>
      <c r="L24" s="5">
        <v>2018</v>
      </c>
      <c r="M24" s="27">
        <v>12178800</v>
      </c>
      <c r="N24" s="27">
        <v>2744914.56</v>
      </c>
      <c r="O24" s="27">
        <v>2744914.56</v>
      </c>
      <c r="P24" s="24">
        <f t="shared" si="0"/>
        <v>22.53846487338654</v>
      </c>
    </row>
    <row r="25" spans="1:16" ht="17.25" customHeight="1">
      <c r="A25" s="7" t="s">
        <v>86</v>
      </c>
      <c r="B25" s="3"/>
      <c r="C25" s="4"/>
      <c r="D25" s="4"/>
      <c r="E25" s="3"/>
      <c r="F25" s="3"/>
      <c r="G25" s="3"/>
      <c r="H25" s="3"/>
      <c r="I25" s="3"/>
      <c r="J25" s="5"/>
      <c r="K25" s="5"/>
      <c r="L25" s="5"/>
      <c r="M25" s="26">
        <f>M26</f>
        <v>7462233</v>
      </c>
      <c r="N25" s="26">
        <f>N26</f>
        <v>3177778.5</v>
      </c>
      <c r="O25" s="26">
        <f>O26</f>
        <v>3177778.5</v>
      </c>
      <c r="P25" s="25">
        <f t="shared" si="0"/>
        <v>42.584820120197264</v>
      </c>
    </row>
    <row r="26" spans="1:16" ht="17.25" customHeight="1">
      <c r="A26" s="6" t="s">
        <v>357</v>
      </c>
      <c r="B26" s="3" t="s">
        <v>19</v>
      </c>
      <c r="C26" s="4" t="s">
        <v>208</v>
      </c>
      <c r="D26" s="4" t="s">
        <v>209</v>
      </c>
      <c r="E26" s="3" t="s">
        <v>204</v>
      </c>
      <c r="F26" s="3" t="s">
        <v>205</v>
      </c>
      <c r="G26" s="3" t="s">
        <v>17</v>
      </c>
      <c r="H26" s="3">
        <v>12800</v>
      </c>
      <c r="I26" s="3" t="s">
        <v>71</v>
      </c>
      <c r="J26" s="5" t="s">
        <v>244</v>
      </c>
      <c r="K26" s="5">
        <v>1.4</v>
      </c>
      <c r="L26" s="5">
        <v>2018</v>
      </c>
      <c r="M26" s="27">
        <v>7462233</v>
      </c>
      <c r="N26" s="24">
        <v>3177778.5</v>
      </c>
      <c r="O26" s="24">
        <v>3177778.5</v>
      </c>
      <c r="P26" s="24">
        <f t="shared" si="0"/>
        <v>42.584820120197264</v>
      </c>
    </row>
    <row r="27" spans="1:16" ht="36" customHeight="1">
      <c r="A27" s="45" t="s">
        <v>183</v>
      </c>
      <c r="B27" s="40">
        <v>12</v>
      </c>
      <c r="C27" s="40"/>
      <c r="D27" s="40"/>
      <c r="E27" s="11"/>
      <c r="F27" s="11"/>
      <c r="G27" s="11"/>
      <c r="H27" s="11"/>
      <c r="I27" s="11"/>
      <c r="J27" s="42"/>
      <c r="K27" s="47"/>
      <c r="L27" s="42"/>
      <c r="M27" s="25">
        <f aca="true" t="shared" si="2" ref="M27:O33">M28</f>
        <v>60000000</v>
      </c>
      <c r="N27" s="25">
        <f t="shared" si="2"/>
        <v>10538869.14</v>
      </c>
      <c r="O27" s="25">
        <f t="shared" si="2"/>
        <v>10538869.14</v>
      </c>
      <c r="P27" s="25">
        <f t="shared" si="0"/>
        <v>17.5647819</v>
      </c>
    </row>
    <row r="28" spans="1:16" ht="21.75" customHeight="1">
      <c r="A28" s="45" t="s">
        <v>184</v>
      </c>
      <c r="B28" s="40">
        <v>12</v>
      </c>
      <c r="C28" s="40">
        <v>1</v>
      </c>
      <c r="D28" s="40"/>
      <c r="E28" s="11"/>
      <c r="F28" s="11"/>
      <c r="G28" s="11"/>
      <c r="H28" s="11"/>
      <c r="I28" s="11"/>
      <c r="J28" s="42"/>
      <c r="K28" s="47"/>
      <c r="L28" s="42"/>
      <c r="M28" s="25">
        <f>M30</f>
        <v>60000000</v>
      </c>
      <c r="N28" s="25">
        <f>N30</f>
        <v>10538869.14</v>
      </c>
      <c r="O28" s="25">
        <f>O30</f>
        <v>10538869.14</v>
      </c>
      <c r="P28" s="25">
        <f t="shared" si="0"/>
        <v>17.5647819</v>
      </c>
    </row>
    <row r="29" spans="1:16" ht="31.5" customHeight="1">
      <c r="A29" s="45" t="s">
        <v>185</v>
      </c>
      <c r="B29" s="40">
        <v>12</v>
      </c>
      <c r="C29" s="40">
        <v>1</v>
      </c>
      <c r="D29" s="40">
        <v>41</v>
      </c>
      <c r="E29" s="11"/>
      <c r="F29" s="11"/>
      <c r="G29" s="11"/>
      <c r="H29" s="11"/>
      <c r="I29" s="11"/>
      <c r="J29" s="42"/>
      <c r="K29" s="47"/>
      <c r="L29" s="42"/>
      <c r="M29" s="25">
        <f>M30</f>
        <v>60000000</v>
      </c>
      <c r="N29" s="25">
        <f>N30</f>
        <v>10538869.14</v>
      </c>
      <c r="O29" s="25">
        <f>O30</f>
        <v>10538869.14</v>
      </c>
      <c r="P29" s="25">
        <f t="shared" si="0"/>
        <v>17.5647819</v>
      </c>
    </row>
    <row r="30" spans="1:16" ht="32.25" customHeight="1">
      <c r="A30" s="45" t="s">
        <v>186</v>
      </c>
      <c r="B30" s="40">
        <v>12</v>
      </c>
      <c r="C30" s="40">
        <v>1</v>
      </c>
      <c r="D30" s="40">
        <v>41</v>
      </c>
      <c r="E30" s="40">
        <v>812</v>
      </c>
      <c r="F30" s="11"/>
      <c r="G30" s="11"/>
      <c r="H30" s="11"/>
      <c r="I30" s="11"/>
      <c r="J30" s="42"/>
      <c r="K30" s="47"/>
      <c r="L30" s="42"/>
      <c r="M30" s="25">
        <f t="shared" si="2"/>
        <v>60000000</v>
      </c>
      <c r="N30" s="25">
        <f t="shared" si="2"/>
        <v>10538869.14</v>
      </c>
      <c r="O30" s="25">
        <f t="shared" si="2"/>
        <v>10538869.14</v>
      </c>
      <c r="P30" s="25">
        <f t="shared" si="0"/>
        <v>17.5647819</v>
      </c>
    </row>
    <row r="31" spans="1:16" ht="19.5" customHeight="1">
      <c r="A31" s="39" t="s">
        <v>24</v>
      </c>
      <c r="B31" s="40">
        <v>12</v>
      </c>
      <c r="C31" s="40">
        <v>1</v>
      </c>
      <c r="D31" s="40">
        <v>41</v>
      </c>
      <c r="E31" s="40">
        <v>812</v>
      </c>
      <c r="F31" s="46" t="s">
        <v>17</v>
      </c>
      <c r="G31" s="46" t="s">
        <v>15</v>
      </c>
      <c r="H31" s="11"/>
      <c r="I31" s="11"/>
      <c r="J31" s="42"/>
      <c r="K31" s="47"/>
      <c r="L31" s="42"/>
      <c r="M31" s="25">
        <f t="shared" si="2"/>
        <v>60000000</v>
      </c>
      <c r="N31" s="25">
        <f t="shared" si="2"/>
        <v>10538869.14</v>
      </c>
      <c r="O31" s="25">
        <f t="shared" si="2"/>
        <v>10538869.14</v>
      </c>
      <c r="P31" s="25">
        <f t="shared" si="0"/>
        <v>17.5647819</v>
      </c>
    </row>
    <row r="32" spans="1:16" ht="35.25" customHeight="1">
      <c r="A32" s="39" t="s">
        <v>74</v>
      </c>
      <c r="B32" s="40">
        <v>12</v>
      </c>
      <c r="C32" s="40">
        <v>1</v>
      </c>
      <c r="D32" s="40">
        <v>41</v>
      </c>
      <c r="E32" s="40">
        <v>812</v>
      </c>
      <c r="F32" s="46" t="s">
        <v>17</v>
      </c>
      <c r="G32" s="46" t="s">
        <v>15</v>
      </c>
      <c r="H32" s="48" t="s">
        <v>187</v>
      </c>
      <c r="I32" s="40"/>
      <c r="J32" s="42"/>
      <c r="K32" s="47"/>
      <c r="L32" s="42"/>
      <c r="M32" s="25">
        <f t="shared" si="2"/>
        <v>60000000</v>
      </c>
      <c r="N32" s="25">
        <f t="shared" si="2"/>
        <v>10538869.14</v>
      </c>
      <c r="O32" s="25">
        <f t="shared" si="2"/>
        <v>10538869.14</v>
      </c>
      <c r="P32" s="25">
        <f t="shared" si="0"/>
        <v>17.5647819</v>
      </c>
    </row>
    <row r="33" spans="1:16" ht="33.75" customHeight="1">
      <c r="A33" s="39" t="s">
        <v>70</v>
      </c>
      <c r="B33" s="40">
        <v>12</v>
      </c>
      <c r="C33" s="40">
        <v>1</v>
      </c>
      <c r="D33" s="40">
        <v>41</v>
      </c>
      <c r="E33" s="40">
        <v>812</v>
      </c>
      <c r="F33" s="46" t="s">
        <v>17</v>
      </c>
      <c r="G33" s="46" t="s">
        <v>15</v>
      </c>
      <c r="H33" s="48" t="s">
        <v>187</v>
      </c>
      <c r="I33" s="40">
        <v>522</v>
      </c>
      <c r="J33" s="42"/>
      <c r="K33" s="47"/>
      <c r="L33" s="42"/>
      <c r="M33" s="25">
        <f t="shared" si="2"/>
        <v>60000000</v>
      </c>
      <c r="N33" s="25">
        <f t="shared" si="2"/>
        <v>10538869.14</v>
      </c>
      <c r="O33" s="25">
        <f t="shared" si="2"/>
        <v>10538869.14</v>
      </c>
      <c r="P33" s="25">
        <f t="shared" si="0"/>
        <v>17.5647819</v>
      </c>
    </row>
    <row r="34" spans="1:16" ht="32.25" customHeight="1">
      <c r="A34" s="39" t="s">
        <v>188</v>
      </c>
      <c r="B34" s="40">
        <v>12</v>
      </c>
      <c r="C34" s="40">
        <v>1</v>
      </c>
      <c r="D34" s="40">
        <v>41</v>
      </c>
      <c r="E34" s="40">
        <v>812</v>
      </c>
      <c r="F34" s="46" t="s">
        <v>17</v>
      </c>
      <c r="G34" s="46" t="s">
        <v>15</v>
      </c>
      <c r="H34" s="48" t="s">
        <v>187</v>
      </c>
      <c r="I34" s="40">
        <v>522</v>
      </c>
      <c r="J34" s="42"/>
      <c r="K34" s="47"/>
      <c r="L34" s="42"/>
      <c r="M34" s="28">
        <f>M35+M38+M41+M43+M45+M48+M50+M52+M55+M57+M62+M64+M66+M68+M60</f>
        <v>60000000</v>
      </c>
      <c r="N34" s="28">
        <f>N35+N38+N41+N43+N45+N48+N50+N52+N55+N57+N62+N64+N66+N68+N60</f>
        <v>10538869.14</v>
      </c>
      <c r="O34" s="28">
        <f>O35+O38+O41+O43+O45+O48+O50+O52+O55+O57+O62+O64+O66+O68+O60</f>
        <v>10538869.14</v>
      </c>
      <c r="P34" s="25">
        <f t="shared" si="0"/>
        <v>17.5647819</v>
      </c>
    </row>
    <row r="35" spans="1:16" ht="18" customHeight="1">
      <c r="A35" s="49" t="s">
        <v>262</v>
      </c>
      <c r="B35" s="40"/>
      <c r="C35" s="40"/>
      <c r="D35" s="40"/>
      <c r="E35" s="40"/>
      <c r="F35" s="46"/>
      <c r="G35" s="46"/>
      <c r="H35" s="48"/>
      <c r="I35" s="40"/>
      <c r="J35" s="42"/>
      <c r="K35" s="47"/>
      <c r="L35" s="42"/>
      <c r="M35" s="28">
        <f>M36+M37</f>
        <v>6764969</v>
      </c>
      <c r="N35" s="28">
        <f>N36+N37</f>
        <v>0</v>
      </c>
      <c r="O35" s="28">
        <f>O36+O37</f>
        <v>0</v>
      </c>
      <c r="P35" s="25">
        <f t="shared" si="0"/>
        <v>0</v>
      </c>
    </row>
    <row r="36" spans="1:16" ht="34.5" customHeight="1">
      <c r="A36" s="50" t="s">
        <v>263</v>
      </c>
      <c r="B36" s="51">
        <v>12</v>
      </c>
      <c r="C36" s="51">
        <v>1</v>
      </c>
      <c r="D36" s="51">
        <v>41</v>
      </c>
      <c r="E36" s="51">
        <v>812</v>
      </c>
      <c r="F36" s="51" t="s">
        <v>17</v>
      </c>
      <c r="G36" s="51" t="s">
        <v>15</v>
      </c>
      <c r="H36" s="51" t="s">
        <v>187</v>
      </c>
      <c r="I36" s="52">
        <v>522</v>
      </c>
      <c r="J36" s="53" t="s">
        <v>266</v>
      </c>
      <c r="K36" s="53">
        <v>0.659</v>
      </c>
      <c r="L36" s="53" t="s">
        <v>192</v>
      </c>
      <c r="M36" s="29">
        <v>1663811</v>
      </c>
      <c r="N36" s="29">
        <v>0</v>
      </c>
      <c r="O36" s="29">
        <v>0</v>
      </c>
      <c r="P36" s="24">
        <f aca="true" t="shared" si="3" ref="P36:P45">O36/M36*100</f>
        <v>0</v>
      </c>
    </row>
    <row r="37" spans="1:16" ht="33.75" customHeight="1">
      <c r="A37" s="50" t="s">
        <v>375</v>
      </c>
      <c r="B37" s="51">
        <v>12</v>
      </c>
      <c r="C37" s="51">
        <v>1</v>
      </c>
      <c r="D37" s="51">
        <v>41</v>
      </c>
      <c r="E37" s="51">
        <v>812</v>
      </c>
      <c r="F37" s="51" t="s">
        <v>17</v>
      </c>
      <c r="G37" s="51" t="s">
        <v>15</v>
      </c>
      <c r="H37" s="51" t="s">
        <v>187</v>
      </c>
      <c r="I37" s="52">
        <v>522</v>
      </c>
      <c r="J37" s="53" t="s">
        <v>264</v>
      </c>
      <c r="K37" s="53" t="s">
        <v>265</v>
      </c>
      <c r="L37" s="53" t="s">
        <v>192</v>
      </c>
      <c r="M37" s="29">
        <v>5101158</v>
      </c>
      <c r="N37" s="24">
        <v>0</v>
      </c>
      <c r="O37" s="24">
        <v>0</v>
      </c>
      <c r="P37" s="24">
        <f t="shared" si="3"/>
        <v>0</v>
      </c>
    </row>
    <row r="38" spans="1:16" ht="15.75" customHeight="1">
      <c r="A38" s="49" t="s">
        <v>189</v>
      </c>
      <c r="B38" s="51"/>
      <c r="C38" s="51"/>
      <c r="D38" s="51"/>
      <c r="E38" s="51"/>
      <c r="F38" s="51"/>
      <c r="G38" s="51"/>
      <c r="H38" s="51"/>
      <c r="I38" s="52"/>
      <c r="J38" s="53"/>
      <c r="K38" s="53"/>
      <c r="L38" s="54"/>
      <c r="M38" s="25">
        <f>M39+M40</f>
        <v>4503522</v>
      </c>
      <c r="N38" s="25">
        <f>N39+N40</f>
        <v>0</v>
      </c>
      <c r="O38" s="25">
        <f>O39+O40</f>
        <v>0</v>
      </c>
      <c r="P38" s="25">
        <f t="shared" si="3"/>
        <v>0</v>
      </c>
    </row>
    <row r="39" spans="1:16" ht="31.5" customHeight="1">
      <c r="A39" s="55" t="s">
        <v>376</v>
      </c>
      <c r="B39" s="51">
        <v>12</v>
      </c>
      <c r="C39" s="51">
        <v>1</v>
      </c>
      <c r="D39" s="51">
        <v>41</v>
      </c>
      <c r="E39" s="51">
        <v>812</v>
      </c>
      <c r="F39" s="51" t="s">
        <v>17</v>
      </c>
      <c r="G39" s="51" t="s">
        <v>15</v>
      </c>
      <c r="H39" s="51" t="s">
        <v>187</v>
      </c>
      <c r="I39" s="52">
        <v>522</v>
      </c>
      <c r="J39" s="53" t="s">
        <v>266</v>
      </c>
      <c r="K39" s="53">
        <v>2.907</v>
      </c>
      <c r="L39" s="53" t="s">
        <v>192</v>
      </c>
      <c r="M39" s="24">
        <v>2938122</v>
      </c>
      <c r="N39" s="24">
        <v>0</v>
      </c>
      <c r="O39" s="24">
        <v>0</v>
      </c>
      <c r="P39" s="24">
        <f t="shared" si="3"/>
        <v>0</v>
      </c>
    </row>
    <row r="40" spans="1:16" ht="31.5" customHeight="1">
      <c r="A40" s="55" t="s">
        <v>401</v>
      </c>
      <c r="B40" s="51">
        <v>12</v>
      </c>
      <c r="C40" s="51">
        <v>1</v>
      </c>
      <c r="D40" s="51">
        <v>41</v>
      </c>
      <c r="E40" s="51">
        <v>812</v>
      </c>
      <c r="F40" s="51" t="s">
        <v>17</v>
      </c>
      <c r="G40" s="51" t="s">
        <v>15</v>
      </c>
      <c r="H40" s="51" t="s">
        <v>187</v>
      </c>
      <c r="I40" s="52">
        <v>522</v>
      </c>
      <c r="J40" s="53" t="s">
        <v>266</v>
      </c>
      <c r="K40" s="53">
        <v>1.753</v>
      </c>
      <c r="L40" s="53" t="s">
        <v>192</v>
      </c>
      <c r="M40" s="24">
        <v>1565400</v>
      </c>
      <c r="N40" s="24">
        <v>0</v>
      </c>
      <c r="O40" s="24">
        <v>0</v>
      </c>
      <c r="P40" s="24">
        <f t="shared" si="3"/>
        <v>0</v>
      </c>
    </row>
    <row r="41" spans="1:16" ht="15.75" customHeight="1">
      <c r="A41" s="56" t="s">
        <v>107</v>
      </c>
      <c r="B41" s="51"/>
      <c r="C41" s="51"/>
      <c r="D41" s="51"/>
      <c r="E41" s="51"/>
      <c r="F41" s="51"/>
      <c r="G41" s="51"/>
      <c r="H41" s="51"/>
      <c r="I41" s="52"/>
      <c r="J41" s="57"/>
      <c r="K41" s="57"/>
      <c r="L41" s="57"/>
      <c r="M41" s="25">
        <f>M42</f>
        <v>5079404</v>
      </c>
      <c r="N41" s="25">
        <f>N42</f>
        <v>5079404</v>
      </c>
      <c r="O41" s="25">
        <f>O42</f>
        <v>5079404</v>
      </c>
      <c r="P41" s="25">
        <f t="shared" si="3"/>
        <v>100</v>
      </c>
    </row>
    <row r="42" spans="1:16" ht="33.75" customHeight="1">
      <c r="A42" s="10" t="s">
        <v>359</v>
      </c>
      <c r="B42" s="51">
        <v>12</v>
      </c>
      <c r="C42" s="51">
        <v>1</v>
      </c>
      <c r="D42" s="51">
        <v>41</v>
      </c>
      <c r="E42" s="51">
        <v>812</v>
      </c>
      <c r="F42" s="51" t="s">
        <v>17</v>
      </c>
      <c r="G42" s="51" t="s">
        <v>15</v>
      </c>
      <c r="H42" s="51" t="s">
        <v>187</v>
      </c>
      <c r="I42" s="52">
        <v>522</v>
      </c>
      <c r="J42" s="53" t="s">
        <v>360</v>
      </c>
      <c r="K42" s="53" t="s">
        <v>361</v>
      </c>
      <c r="L42" s="53" t="s">
        <v>192</v>
      </c>
      <c r="M42" s="24">
        <v>5079404</v>
      </c>
      <c r="N42" s="24">
        <v>5079404</v>
      </c>
      <c r="O42" s="24">
        <v>5079404</v>
      </c>
      <c r="P42" s="24">
        <f t="shared" si="3"/>
        <v>100</v>
      </c>
    </row>
    <row r="43" spans="1:16" ht="17.25" customHeight="1">
      <c r="A43" s="58" t="s">
        <v>190</v>
      </c>
      <c r="B43" s="51"/>
      <c r="C43" s="51"/>
      <c r="D43" s="51"/>
      <c r="E43" s="51"/>
      <c r="F43" s="51"/>
      <c r="G43" s="51"/>
      <c r="H43" s="51"/>
      <c r="I43" s="52"/>
      <c r="J43" s="57"/>
      <c r="K43" s="57"/>
      <c r="L43" s="57"/>
      <c r="M43" s="25">
        <f>M44</f>
        <v>3211033</v>
      </c>
      <c r="N43" s="25">
        <f>N44</f>
        <v>0</v>
      </c>
      <c r="O43" s="25">
        <f>O44</f>
        <v>0</v>
      </c>
      <c r="P43" s="25">
        <f t="shared" si="3"/>
        <v>0</v>
      </c>
    </row>
    <row r="44" spans="1:16" ht="34.5" customHeight="1">
      <c r="A44" s="10" t="s">
        <v>267</v>
      </c>
      <c r="B44" s="51">
        <v>12</v>
      </c>
      <c r="C44" s="51">
        <v>1</v>
      </c>
      <c r="D44" s="51">
        <v>41</v>
      </c>
      <c r="E44" s="51">
        <v>812</v>
      </c>
      <c r="F44" s="51" t="s">
        <v>17</v>
      </c>
      <c r="G44" s="51" t="s">
        <v>15</v>
      </c>
      <c r="H44" s="51" t="s">
        <v>187</v>
      </c>
      <c r="I44" s="52">
        <v>522</v>
      </c>
      <c r="J44" s="53" t="s">
        <v>268</v>
      </c>
      <c r="K44" s="53" t="s">
        <v>362</v>
      </c>
      <c r="L44" s="53" t="s">
        <v>192</v>
      </c>
      <c r="M44" s="24">
        <v>3211033</v>
      </c>
      <c r="N44" s="24">
        <v>0</v>
      </c>
      <c r="O44" s="24">
        <v>0</v>
      </c>
      <c r="P44" s="24">
        <f t="shared" si="3"/>
        <v>0</v>
      </c>
    </row>
    <row r="45" spans="1:16" ht="18" customHeight="1">
      <c r="A45" s="59" t="s">
        <v>72</v>
      </c>
      <c r="B45" s="51"/>
      <c r="C45" s="51"/>
      <c r="D45" s="51"/>
      <c r="E45" s="51"/>
      <c r="F45" s="51"/>
      <c r="G45" s="51"/>
      <c r="H45" s="51"/>
      <c r="I45" s="52"/>
      <c r="J45" s="57"/>
      <c r="K45" s="57"/>
      <c r="L45" s="57"/>
      <c r="M45" s="25">
        <f>M46+M47</f>
        <v>4911638</v>
      </c>
      <c r="N45" s="25">
        <f>N46+N47</f>
        <v>1043387</v>
      </c>
      <c r="O45" s="25">
        <f>O46+O47</f>
        <v>1043387</v>
      </c>
      <c r="P45" s="25">
        <f t="shared" si="3"/>
        <v>21.243157577981115</v>
      </c>
    </row>
    <row r="46" spans="1:16" ht="48" customHeight="1">
      <c r="A46" s="10" t="s">
        <v>377</v>
      </c>
      <c r="B46" s="51">
        <v>12</v>
      </c>
      <c r="C46" s="51">
        <v>1</v>
      </c>
      <c r="D46" s="51">
        <v>41</v>
      </c>
      <c r="E46" s="51">
        <v>812</v>
      </c>
      <c r="F46" s="51" t="s">
        <v>17</v>
      </c>
      <c r="G46" s="51" t="s">
        <v>15</v>
      </c>
      <c r="H46" s="51" t="s">
        <v>187</v>
      </c>
      <c r="I46" s="52">
        <v>522</v>
      </c>
      <c r="J46" s="53" t="s">
        <v>363</v>
      </c>
      <c r="K46" s="53" t="s">
        <v>364</v>
      </c>
      <c r="L46" s="53" t="s">
        <v>192</v>
      </c>
      <c r="M46" s="24">
        <v>4068837</v>
      </c>
      <c r="N46" s="24">
        <v>1043387</v>
      </c>
      <c r="O46" s="24">
        <v>1043387</v>
      </c>
      <c r="P46" s="24">
        <f>O46/M46*100</f>
        <v>25.6433718037857</v>
      </c>
    </row>
    <row r="47" spans="1:16" ht="48.75" customHeight="1">
      <c r="A47" s="10" t="s">
        <v>402</v>
      </c>
      <c r="B47" s="51">
        <v>12</v>
      </c>
      <c r="C47" s="51">
        <v>1</v>
      </c>
      <c r="D47" s="51">
        <v>41</v>
      </c>
      <c r="E47" s="51">
        <v>812</v>
      </c>
      <c r="F47" s="51" t="s">
        <v>17</v>
      </c>
      <c r="G47" s="51" t="s">
        <v>15</v>
      </c>
      <c r="H47" s="51" t="s">
        <v>187</v>
      </c>
      <c r="I47" s="52">
        <v>522</v>
      </c>
      <c r="J47" s="53" t="s">
        <v>266</v>
      </c>
      <c r="K47" s="53">
        <v>1.2</v>
      </c>
      <c r="L47" s="53" t="s">
        <v>192</v>
      </c>
      <c r="M47" s="24">
        <v>842801</v>
      </c>
      <c r="N47" s="24">
        <v>0</v>
      </c>
      <c r="O47" s="24">
        <v>0</v>
      </c>
      <c r="P47" s="24">
        <f>O47/M47*100</f>
        <v>0</v>
      </c>
    </row>
    <row r="48" spans="1:16" ht="16.5" customHeight="1">
      <c r="A48" s="60" t="s">
        <v>403</v>
      </c>
      <c r="B48" s="51"/>
      <c r="C48" s="51"/>
      <c r="D48" s="51"/>
      <c r="E48" s="51"/>
      <c r="F48" s="51"/>
      <c r="G48" s="51"/>
      <c r="H48" s="51"/>
      <c r="I48" s="52"/>
      <c r="J48" s="57"/>
      <c r="K48" s="57"/>
      <c r="L48" s="57"/>
      <c r="M48" s="25">
        <f>M49</f>
        <v>3237837</v>
      </c>
      <c r="N48" s="25">
        <f>N49</f>
        <v>0</v>
      </c>
      <c r="O48" s="25">
        <f>O49</f>
        <v>0</v>
      </c>
      <c r="P48" s="25">
        <f aca="true" t="shared" si="4" ref="P48:P62">O48/M48*100</f>
        <v>0</v>
      </c>
    </row>
    <row r="49" spans="1:16" ht="34.5" customHeight="1">
      <c r="A49" s="10" t="s">
        <v>404</v>
      </c>
      <c r="B49" s="51">
        <v>12</v>
      </c>
      <c r="C49" s="51">
        <v>1</v>
      </c>
      <c r="D49" s="51">
        <v>41</v>
      </c>
      <c r="E49" s="51">
        <v>812</v>
      </c>
      <c r="F49" s="51" t="s">
        <v>17</v>
      </c>
      <c r="G49" s="51" t="s">
        <v>15</v>
      </c>
      <c r="H49" s="51" t="s">
        <v>187</v>
      </c>
      <c r="I49" s="52">
        <v>522</v>
      </c>
      <c r="J49" s="53" t="s">
        <v>405</v>
      </c>
      <c r="K49" s="53" t="s">
        <v>406</v>
      </c>
      <c r="L49" s="53" t="s">
        <v>192</v>
      </c>
      <c r="M49" s="24">
        <v>3237837</v>
      </c>
      <c r="N49" s="24">
        <v>0</v>
      </c>
      <c r="O49" s="24">
        <v>0</v>
      </c>
      <c r="P49" s="24">
        <f t="shared" si="4"/>
        <v>0</v>
      </c>
    </row>
    <row r="50" spans="1:16" ht="18.75" customHeight="1">
      <c r="A50" s="58" t="s">
        <v>60</v>
      </c>
      <c r="B50" s="51"/>
      <c r="C50" s="51"/>
      <c r="D50" s="51"/>
      <c r="E50" s="51"/>
      <c r="F50" s="51"/>
      <c r="G50" s="51"/>
      <c r="H50" s="51"/>
      <c r="I50" s="52"/>
      <c r="J50" s="57"/>
      <c r="K50" s="57"/>
      <c r="L50" s="57"/>
      <c r="M50" s="25">
        <f>M51</f>
        <v>3088180</v>
      </c>
      <c r="N50" s="25">
        <f>N51</f>
        <v>0</v>
      </c>
      <c r="O50" s="25">
        <f>O51</f>
        <v>0</v>
      </c>
      <c r="P50" s="25">
        <f t="shared" si="4"/>
        <v>0</v>
      </c>
    </row>
    <row r="51" spans="1:16" ht="34.5" customHeight="1">
      <c r="A51" s="61" t="s">
        <v>269</v>
      </c>
      <c r="B51" s="51">
        <v>12</v>
      </c>
      <c r="C51" s="51">
        <v>1</v>
      </c>
      <c r="D51" s="51">
        <v>41</v>
      </c>
      <c r="E51" s="51">
        <v>812</v>
      </c>
      <c r="F51" s="51" t="s">
        <v>17</v>
      </c>
      <c r="G51" s="51" t="s">
        <v>15</v>
      </c>
      <c r="H51" s="51" t="s">
        <v>187</v>
      </c>
      <c r="I51" s="52">
        <v>522</v>
      </c>
      <c r="J51" s="53" t="s">
        <v>363</v>
      </c>
      <c r="K51" s="53" t="s">
        <v>365</v>
      </c>
      <c r="L51" s="53" t="s">
        <v>192</v>
      </c>
      <c r="M51" s="24">
        <v>3088180</v>
      </c>
      <c r="N51" s="24">
        <v>0</v>
      </c>
      <c r="O51" s="24">
        <v>0</v>
      </c>
      <c r="P51" s="24">
        <f t="shared" si="4"/>
        <v>0</v>
      </c>
    </row>
    <row r="52" spans="1:16" ht="19.5" customHeight="1">
      <c r="A52" s="58" t="s">
        <v>191</v>
      </c>
      <c r="B52" s="51"/>
      <c r="C52" s="51"/>
      <c r="D52" s="51"/>
      <c r="E52" s="51"/>
      <c r="F52" s="51"/>
      <c r="G52" s="51"/>
      <c r="H52" s="51"/>
      <c r="I52" s="52"/>
      <c r="J52" s="53"/>
      <c r="K52" s="53"/>
      <c r="L52" s="53"/>
      <c r="M52" s="25">
        <f>M53+M54</f>
        <v>2775698</v>
      </c>
      <c r="N52" s="25">
        <f>N53+N54</f>
        <v>0</v>
      </c>
      <c r="O52" s="25">
        <f>O53+O54</f>
        <v>0</v>
      </c>
      <c r="P52" s="25">
        <f t="shared" si="4"/>
        <v>0</v>
      </c>
    </row>
    <row r="53" spans="1:16" ht="32.25" customHeight="1">
      <c r="A53" s="55" t="s">
        <v>378</v>
      </c>
      <c r="B53" s="51">
        <v>12</v>
      </c>
      <c r="C53" s="51">
        <v>1</v>
      </c>
      <c r="D53" s="51">
        <v>41</v>
      </c>
      <c r="E53" s="51">
        <v>812</v>
      </c>
      <c r="F53" s="51" t="s">
        <v>17</v>
      </c>
      <c r="G53" s="51" t="s">
        <v>15</v>
      </c>
      <c r="H53" s="51" t="s">
        <v>187</v>
      </c>
      <c r="I53" s="52">
        <v>522</v>
      </c>
      <c r="J53" s="53" t="s">
        <v>276</v>
      </c>
      <c r="K53" s="53">
        <v>2.372</v>
      </c>
      <c r="L53" s="53" t="s">
        <v>192</v>
      </c>
      <c r="M53" s="29">
        <v>2085666</v>
      </c>
      <c r="N53" s="24">
        <v>0</v>
      </c>
      <c r="O53" s="24">
        <v>0</v>
      </c>
      <c r="P53" s="24">
        <f t="shared" si="4"/>
        <v>0</v>
      </c>
    </row>
    <row r="54" spans="1:16" ht="29.25" customHeight="1">
      <c r="A54" s="55" t="s">
        <v>407</v>
      </c>
      <c r="B54" s="51">
        <v>12</v>
      </c>
      <c r="C54" s="51">
        <v>1</v>
      </c>
      <c r="D54" s="51">
        <v>41</v>
      </c>
      <c r="E54" s="51">
        <v>812</v>
      </c>
      <c r="F54" s="51" t="s">
        <v>17</v>
      </c>
      <c r="G54" s="51" t="s">
        <v>15</v>
      </c>
      <c r="H54" s="51" t="s">
        <v>187</v>
      </c>
      <c r="I54" s="52">
        <v>522</v>
      </c>
      <c r="J54" s="53" t="s">
        <v>276</v>
      </c>
      <c r="K54" s="53">
        <v>0.888</v>
      </c>
      <c r="L54" s="53" t="s">
        <v>192</v>
      </c>
      <c r="M54" s="29">
        <v>690032</v>
      </c>
      <c r="N54" s="29">
        <v>0</v>
      </c>
      <c r="O54" s="29">
        <v>0</v>
      </c>
      <c r="P54" s="24">
        <f t="shared" si="4"/>
        <v>0</v>
      </c>
    </row>
    <row r="55" spans="1:16" ht="18.75" customHeight="1">
      <c r="A55" s="58" t="s">
        <v>131</v>
      </c>
      <c r="B55" s="51"/>
      <c r="C55" s="51"/>
      <c r="D55" s="51"/>
      <c r="E55" s="51"/>
      <c r="F55" s="51"/>
      <c r="G55" s="51"/>
      <c r="H55" s="51"/>
      <c r="I55" s="52"/>
      <c r="J55" s="53"/>
      <c r="K55" s="53"/>
      <c r="L55" s="53"/>
      <c r="M55" s="25">
        <f>M56</f>
        <v>3634070</v>
      </c>
      <c r="N55" s="25">
        <f>N56</f>
        <v>0</v>
      </c>
      <c r="O55" s="25">
        <f>O56</f>
        <v>0</v>
      </c>
      <c r="P55" s="25">
        <f t="shared" si="4"/>
        <v>0</v>
      </c>
    </row>
    <row r="56" spans="1:16" ht="33" customHeight="1">
      <c r="A56" s="55" t="s">
        <v>379</v>
      </c>
      <c r="B56" s="51">
        <v>12</v>
      </c>
      <c r="C56" s="51">
        <v>1</v>
      </c>
      <c r="D56" s="51">
        <v>41</v>
      </c>
      <c r="E56" s="51">
        <v>812</v>
      </c>
      <c r="F56" s="51" t="s">
        <v>17</v>
      </c>
      <c r="G56" s="51" t="s">
        <v>15</v>
      </c>
      <c r="H56" s="51" t="s">
        <v>187</v>
      </c>
      <c r="I56" s="52">
        <v>522</v>
      </c>
      <c r="J56" s="53" t="s">
        <v>408</v>
      </c>
      <c r="K56" s="53" t="s">
        <v>366</v>
      </c>
      <c r="L56" s="53" t="s">
        <v>192</v>
      </c>
      <c r="M56" s="29">
        <v>3634070</v>
      </c>
      <c r="N56" s="24">
        <v>0</v>
      </c>
      <c r="O56" s="24">
        <v>0</v>
      </c>
      <c r="P56" s="24">
        <f t="shared" si="4"/>
        <v>0</v>
      </c>
    </row>
    <row r="57" spans="1:16" ht="18.75" customHeight="1">
      <c r="A57" s="58" t="s">
        <v>409</v>
      </c>
      <c r="B57" s="51"/>
      <c r="C57" s="51"/>
      <c r="D57" s="51"/>
      <c r="E57" s="51"/>
      <c r="F57" s="51"/>
      <c r="G57" s="51"/>
      <c r="H57" s="51"/>
      <c r="I57" s="52"/>
      <c r="J57" s="53"/>
      <c r="K57" s="53"/>
      <c r="L57" s="53"/>
      <c r="M57" s="25">
        <f>M58+M59</f>
        <v>893000</v>
      </c>
      <c r="N57" s="25">
        <f>N58+N59</f>
        <v>0</v>
      </c>
      <c r="O57" s="25">
        <f>O58+O59</f>
        <v>0</v>
      </c>
      <c r="P57" s="25">
        <f t="shared" si="4"/>
        <v>0</v>
      </c>
    </row>
    <row r="58" spans="1:16" ht="24.75" customHeight="1">
      <c r="A58" s="61" t="s">
        <v>270</v>
      </c>
      <c r="B58" s="51">
        <v>12</v>
      </c>
      <c r="C58" s="51">
        <v>1</v>
      </c>
      <c r="D58" s="51">
        <v>41</v>
      </c>
      <c r="E58" s="51">
        <v>812</v>
      </c>
      <c r="F58" s="51" t="s">
        <v>17</v>
      </c>
      <c r="G58" s="51" t="s">
        <v>15</v>
      </c>
      <c r="H58" s="51" t="s">
        <v>187</v>
      </c>
      <c r="I58" s="52">
        <v>522</v>
      </c>
      <c r="J58" s="53" t="s">
        <v>276</v>
      </c>
      <c r="K58" s="53">
        <v>1.2</v>
      </c>
      <c r="L58" s="53" t="s">
        <v>192</v>
      </c>
      <c r="M58" s="29">
        <v>494000</v>
      </c>
      <c r="N58" s="24">
        <v>0</v>
      </c>
      <c r="O58" s="24">
        <v>0</v>
      </c>
      <c r="P58" s="24">
        <f t="shared" si="4"/>
        <v>0</v>
      </c>
    </row>
    <row r="59" spans="1:16" ht="32.25" customHeight="1">
      <c r="A59" s="61" t="s">
        <v>271</v>
      </c>
      <c r="B59" s="51">
        <v>12</v>
      </c>
      <c r="C59" s="51">
        <v>1</v>
      </c>
      <c r="D59" s="51">
        <v>41</v>
      </c>
      <c r="E59" s="51">
        <v>812</v>
      </c>
      <c r="F59" s="51" t="s">
        <v>17</v>
      </c>
      <c r="G59" s="51" t="s">
        <v>15</v>
      </c>
      <c r="H59" s="51" t="s">
        <v>187</v>
      </c>
      <c r="I59" s="52">
        <v>522</v>
      </c>
      <c r="J59" s="53" t="s">
        <v>276</v>
      </c>
      <c r="K59" s="53">
        <v>0.8</v>
      </c>
      <c r="L59" s="53" t="s">
        <v>192</v>
      </c>
      <c r="M59" s="29">
        <v>399000</v>
      </c>
      <c r="N59" s="29">
        <v>0</v>
      </c>
      <c r="O59" s="29">
        <v>0</v>
      </c>
      <c r="P59" s="24">
        <f t="shared" si="4"/>
        <v>0</v>
      </c>
    </row>
    <row r="60" spans="1:16" ht="20.25" customHeight="1">
      <c r="A60" s="39" t="s">
        <v>113</v>
      </c>
      <c r="B60" s="51"/>
      <c r="C60" s="51"/>
      <c r="D60" s="51"/>
      <c r="E60" s="51"/>
      <c r="F60" s="51"/>
      <c r="G60" s="51"/>
      <c r="H60" s="51"/>
      <c r="I60" s="52"/>
      <c r="J60" s="53"/>
      <c r="K60" s="53"/>
      <c r="L60" s="53"/>
      <c r="M60" s="25">
        <f>M61</f>
        <v>2090009</v>
      </c>
      <c r="N60" s="25">
        <f>N61</f>
        <v>0</v>
      </c>
      <c r="O60" s="25">
        <f>O61</f>
        <v>0</v>
      </c>
      <c r="P60" s="25">
        <f t="shared" si="4"/>
        <v>0</v>
      </c>
    </row>
    <row r="61" spans="1:16" ht="33.75" customHeight="1">
      <c r="A61" s="55" t="s">
        <v>367</v>
      </c>
      <c r="B61" s="51">
        <v>12</v>
      </c>
      <c r="C61" s="51">
        <v>1</v>
      </c>
      <c r="D61" s="51">
        <v>41</v>
      </c>
      <c r="E61" s="51">
        <v>812</v>
      </c>
      <c r="F61" s="51" t="s">
        <v>17</v>
      </c>
      <c r="G61" s="51" t="s">
        <v>15</v>
      </c>
      <c r="H61" s="51" t="s">
        <v>187</v>
      </c>
      <c r="I61" s="52">
        <v>522</v>
      </c>
      <c r="J61" s="53" t="s">
        <v>266</v>
      </c>
      <c r="K61" s="53">
        <v>2.422</v>
      </c>
      <c r="L61" s="53" t="s">
        <v>192</v>
      </c>
      <c r="M61" s="29">
        <v>2090009</v>
      </c>
      <c r="N61" s="29">
        <v>0</v>
      </c>
      <c r="O61" s="29">
        <v>0</v>
      </c>
      <c r="P61" s="24">
        <f t="shared" si="4"/>
        <v>0</v>
      </c>
    </row>
    <row r="62" spans="1:16" ht="19.5" customHeight="1">
      <c r="A62" s="39" t="s">
        <v>410</v>
      </c>
      <c r="B62" s="51"/>
      <c r="C62" s="51"/>
      <c r="D62" s="51"/>
      <c r="E62" s="51"/>
      <c r="F62" s="51"/>
      <c r="G62" s="51"/>
      <c r="H62" s="51"/>
      <c r="I62" s="52"/>
      <c r="J62" s="53"/>
      <c r="K62" s="53"/>
      <c r="L62" s="53"/>
      <c r="M62" s="25">
        <f>M63</f>
        <v>12641347</v>
      </c>
      <c r="N62" s="25">
        <f>N63</f>
        <v>4416078.14</v>
      </c>
      <c r="O62" s="25">
        <f>O63</f>
        <v>4416078.14</v>
      </c>
      <c r="P62" s="25">
        <f t="shared" si="4"/>
        <v>34.93360430656638</v>
      </c>
    </row>
    <row r="63" spans="1:16" ht="21.75" customHeight="1">
      <c r="A63" s="55" t="s">
        <v>273</v>
      </c>
      <c r="B63" s="51">
        <v>12</v>
      </c>
      <c r="C63" s="51">
        <v>1</v>
      </c>
      <c r="D63" s="51">
        <v>41</v>
      </c>
      <c r="E63" s="51">
        <v>812</v>
      </c>
      <c r="F63" s="51" t="s">
        <v>17</v>
      </c>
      <c r="G63" s="51" t="s">
        <v>15</v>
      </c>
      <c r="H63" s="51" t="s">
        <v>187</v>
      </c>
      <c r="I63" s="52">
        <v>522</v>
      </c>
      <c r="J63" s="53" t="s">
        <v>369</v>
      </c>
      <c r="K63" s="53" t="s">
        <v>368</v>
      </c>
      <c r="L63" s="53" t="s">
        <v>192</v>
      </c>
      <c r="M63" s="29">
        <v>12641347</v>
      </c>
      <c r="N63" s="29">
        <v>4416078.14</v>
      </c>
      <c r="O63" s="29">
        <v>4416078.14</v>
      </c>
      <c r="P63" s="24">
        <f aca="true" t="shared" si="5" ref="P63:P70">O63/M63*100</f>
        <v>34.93360430656638</v>
      </c>
    </row>
    <row r="64" spans="1:16" ht="19.5" customHeight="1">
      <c r="A64" s="58" t="s">
        <v>370</v>
      </c>
      <c r="B64" s="51"/>
      <c r="C64" s="51"/>
      <c r="D64" s="51"/>
      <c r="E64" s="51"/>
      <c r="F64" s="51"/>
      <c r="G64" s="51"/>
      <c r="H64" s="51"/>
      <c r="I64" s="52"/>
      <c r="J64" s="53"/>
      <c r="K64" s="53"/>
      <c r="L64" s="53"/>
      <c r="M64" s="25">
        <f>M65</f>
        <v>3800000</v>
      </c>
      <c r="N64" s="25">
        <f>N65</f>
        <v>0</v>
      </c>
      <c r="O64" s="25">
        <f>O65</f>
        <v>0</v>
      </c>
      <c r="P64" s="25">
        <f t="shared" si="5"/>
        <v>0</v>
      </c>
    </row>
    <row r="65" spans="1:16" ht="33" customHeight="1">
      <c r="A65" s="55" t="s">
        <v>274</v>
      </c>
      <c r="B65" s="51">
        <v>12</v>
      </c>
      <c r="C65" s="51">
        <v>1</v>
      </c>
      <c r="D65" s="51">
        <v>41</v>
      </c>
      <c r="E65" s="51">
        <v>812</v>
      </c>
      <c r="F65" s="51" t="s">
        <v>17</v>
      </c>
      <c r="G65" s="51" t="s">
        <v>15</v>
      </c>
      <c r="H65" s="51" t="s">
        <v>187</v>
      </c>
      <c r="I65" s="52">
        <v>522</v>
      </c>
      <c r="J65" s="53" t="s">
        <v>371</v>
      </c>
      <c r="K65" s="53" t="s">
        <v>372</v>
      </c>
      <c r="L65" s="53" t="s">
        <v>192</v>
      </c>
      <c r="M65" s="29">
        <v>3800000</v>
      </c>
      <c r="N65" s="29">
        <v>0</v>
      </c>
      <c r="O65" s="29">
        <v>0</v>
      </c>
      <c r="P65" s="24">
        <f t="shared" si="5"/>
        <v>0</v>
      </c>
    </row>
    <row r="66" spans="1:16" ht="19.5" customHeight="1">
      <c r="A66" s="58" t="s">
        <v>66</v>
      </c>
      <c r="B66" s="51"/>
      <c r="C66" s="51"/>
      <c r="D66" s="51"/>
      <c r="E66" s="51"/>
      <c r="F66" s="51"/>
      <c r="G66" s="51"/>
      <c r="H66" s="51"/>
      <c r="I66" s="52"/>
      <c r="J66" s="53"/>
      <c r="K66" s="53"/>
      <c r="L66" s="53"/>
      <c r="M66" s="25">
        <f>M67</f>
        <v>2413693</v>
      </c>
      <c r="N66" s="25">
        <f>N67</f>
        <v>0</v>
      </c>
      <c r="O66" s="25">
        <f>O67</f>
        <v>0</v>
      </c>
      <c r="P66" s="25">
        <f t="shared" si="5"/>
        <v>0</v>
      </c>
    </row>
    <row r="67" spans="1:16" ht="33" customHeight="1">
      <c r="A67" s="55" t="s">
        <v>411</v>
      </c>
      <c r="B67" s="51">
        <v>12</v>
      </c>
      <c r="C67" s="51">
        <v>1</v>
      </c>
      <c r="D67" s="51">
        <v>41</v>
      </c>
      <c r="E67" s="51">
        <v>812</v>
      </c>
      <c r="F67" s="51" t="s">
        <v>17</v>
      </c>
      <c r="G67" s="51" t="s">
        <v>15</v>
      </c>
      <c r="H67" s="51" t="s">
        <v>187</v>
      </c>
      <c r="I67" s="52">
        <v>522</v>
      </c>
      <c r="J67" s="53" t="s">
        <v>277</v>
      </c>
      <c r="K67" s="53">
        <v>3.065</v>
      </c>
      <c r="L67" s="53" t="s">
        <v>192</v>
      </c>
      <c r="M67" s="29">
        <v>2413693</v>
      </c>
      <c r="N67" s="30">
        <v>0</v>
      </c>
      <c r="O67" s="30">
        <v>0</v>
      </c>
      <c r="P67" s="24">
        <f t="shared" si="5"/>
        <v>0</v>
      </c>
    </row>
    <row r="68" spans="1:16" ht="18" customHeight="1">
      <c r="A68" s="58" t="s">
        <v>89</v>
      </c>
      <c r="B68" s="51"/>
      <c r="C68" s="51"/>
      <c r="D68" s="51"/>
      <c r="E68" s="51"/>
      <c r="F68" s="51"/>
      <c r="G68" s="51"/>
      <c r="H68" s="51"/>
      <c r="I68" s="52"/>
      <c r="J68" s="53"/>
      <c r="K68" s="53"/>
      <c r="L68" s="53"/>
      <c r="M68" s="25">
        <f>M69</f>
        <v>955600</v>
      </c>
      <c r="N68" s="25">
        <f>N69</f>
        <v>0</v>
      </c>
      <c r="O68" s="25">
        <f>O69</f>
        <v>0</v>
      </c>
      <c r="P68" s="25">
        <f t="shared" si="5"/>
        <v>0</v>
      </c>
    </row>
    <row r="69" spans="1:16" ht="21.75" customHeight="1">
      <c r="A69" s="55" t="s">
        <v>275</v>
      </c>
      <c r="B69" s="51">
        <v>12</v>
      </c>
      <c r="C69" s="51">
        <v>1</v>
      </c>
      <c r="D69" s="51">
        <v>41</v>
      </c>
      <c r="E69" s="51">
        <v>812</v>
      </c>
      <c r="F69" s="51" t="s">
        <v>17</v>
      </c>
      <c r="G69" s="51" t="s">
        <v>15</v>
      </c>
      <c r="H69" s="51" t="s">
        <v>187</v>
      </c>
      <c r="I69" s="52">
        <v>522</v>
      </c>
      <c r="J69" s="53" t="s">
        <v>278</v>
      </c>
      <c r="K69" s="53">
        <v>1</v>
      </c>
      <c r="L69" s="53" t="s">
        <v>192</v>
      </c>
      <c r="M69" s="29">
        <v>955600</v>
      </c>
      <c r="N69" s="30">
        <v>0</v>
      </c>
      <c r="O69" s="30">
        <v>0</v>
      </c>
      <c r="P69" s="24">
        <f t="shared" si="5"/>
        <v>0</v>
      </c>
    </row>
    <row r="70" spans="1:16" ht="24" customHeight="1">
      <c r="A70" s="45" t="s">
        <v>247</v>
      </c>
      <c r="B70" s="40">
        <v>15</v>
      </c>
      <c r="C70" s="40">
        <v>0</v>
      </c>
      <c r="D70" s="40"/>
      <c r="E70" s="11"/>
      <c r="F70" s="11"/>
      <c r="G70" s="11"/>
      <c r="H70" s="11"/>
      <c r="I70" s="11"/>
      <c r="J70" s="62"/>
      <c r="K70" s="12"/>
      <c r="L70" s="57"/>
      <c r="M70" s="28">
        <f>M71</f>
        <v>45609403</v>
      </c>
      <c r="N70" s="28">
        <f>N71</f>
        <v>0</v>
      </c>
      <c r="O70" s="28">
        <f>O71</f>
        <v>0</v>
      </c>
      <c r="P70" s="25">
        <f t="shared" si="5"/>
        <v>0</v>
      </c>
    </row>
    <row r="71" spans="1:16" ht="22.5" customHeight="1">
      <c r="A71" s="14" t="s">
        <v>100</v>
      </c>
      <c r="B71" s="63">
        <v>15</v>
      </c>
      <c r="C71" s="63">
        <v>0</v>
      </c>
      <c r="D71" s="63">
        <v>12</v>
      </c>
      <c r="E71" s="11"/>
      <c r="F71" s="11"/>
      <c r="G71" s="11"/>
      <c r="H71" s="11"/>
      <c r="I71" s="11"/>
      <c r="J71" s="62"/>
      <c r="K71" s="12"/>
      <c r="L71" s="57"/>
      <c r="M71" s="28">
        <f>M72+M79</f>
        <v>45609403</v>
      </c>
      <c r="N71" s="28">
        <f>N72+N79</f>
        <v>0</v>
      </c>
      <c r="O71" s="28">
        <f>O72+O79</f>
        <v>0</v>
      </c>
      <c r="P71" s="25">
        <f aca="true" t="shared" si="6" ref="P71:P84">O71/M71*100</f>
        <v>0</v>
      </c>
    </row>
    <row r="72" spans="1:16" ht="21" customHeight="1">
      <c r="A72" s="45" t="s">
        <v>25</v>
      </c>
      <c r="B72" s="40">
        <v>15</v>
      </c>
      <c r="C72" s="40">
        <v>0</v>
      </c>
      <c r="D72" s="63">
        <v>12</v>
      </c>
      <c r="E72" s="40">
        <v>819</v>
      </c>
      <c r="F72" s="11"/>
      <c r="G72" s="11"/>
      <c r="H72" s="11"/>
      <c r="I72" s="11"/>
      <c r="J72" s="62"/>
      <c r="K72" s="12"/>
      <c r="L72" s="57"/>
      <c r="M72" s="28">
        <f aca="true" t="shared" si="7" ref="M72:O77">M73</f>
        <v>14609403</v>
      </c>
      <c r="N72" s="28">
        <f t="shared" si="7"/>
        <v>0</v>
      </c>
      <c r="O72" s="28">
        <f t="shared" si="7"/>
        <v>0</v>
      </c>
      <c r="P72" s="25">
        <f t="shared" si="6"/>
        <v>0</v>
      </c>
    </row>
    <row r="73" spans="1:16" ht="21" customHeight="1">
      <c r="A73" s="45" t="s">
        <v>31</v>
      </c>
      <c r="B73" s="40" t="s">
        <v>30</v>
      </c>
      <c r="C73" s="40">
        <v>0</v>
      </c>
      <c r="D73" s="63">
        <v>12</v>
      </c>
      <c r="E73" s="40" t="s">
        <v>26</v>
      </c>
      <c r="F73" s="40" t="s">
        <v>19</v>
      </c>
      <c r="G73" s="40" t="s">
        <v>0</v>
      </c>
      <c r="H73" s="11"/>
      <c r="I73" s="11"/>
      <c r="J73" s="62"/>
      <c r="K73" s="12"/>
      <c r="L73" s="57"/>
      <c r="M73" s="28">
        <f t="shared" si="7"/>
        <v>14609403</v>
      </c>
      <c r="N73" s="28">
        <f t="shared" si="7"/>
        <v>0</v>
      </c>
      <c r="O73" s="28">
        <f t="shared" si="7"/>
        <v>0</v>
      </c>
      <c r="P73" s="25">
        <f t="shared" si="6"/>
        <v>0</v>
      </c>
    </row>
    <row r="74" spans="1:16" ht="20.25" customHeight="1">
      <c r="A74" s="45" t="s">
        <v>32</v>
      </c>
      <c r="B74" s="40" t="s">
        <v>30</v>
      </c>
      <c r="C74" s="40">
        <v>0</v>
      </c>
      <c r="D74" s="63">
        <v>12</v>
      </c>
      <c r="E74" s="40" t="s">
        <v>26</v>
      </c>
      <c r="F74" s="40" t="s">
        <v>19</v>
      </c>
      <c r="G74" s="40" t="s">
        <v>14</v>
      </c>
      <c r="H74" s="11"/>
      <c r="I74" s="11"/>
      <c r="J74" s="57"/>
      <c r="K74" s="57"/>
      <c r="L74" s="57"/>
      <c r="M74" s="28">
        <f t="shared" si="7"/>
        <v>14609403</v>
      </c>
      <c r="N74" s="28">
        <f t="shared" si="7"/>
        <v>0</v>
      </c>
      <c r="O74" s="28">
        <f t="shared" si="7"/>
        <v>0</v>
      </c>
      <c r="P74" s="25">
        <f t="shared" si="6"/>
        <v>0</v>
      </c>
    </row>
    <row r="75" spans="1:16" ht="33" customHeight="1">
      <c r="A75" s="45" t="s">
        <v>74</v>
      </c>
      <c r="B75" s="40" t="s">
        <v>30</v>
      </c>
      <c r="C75" s="40">
        <v>0</v>
      </c>
      <c r="D75" s="63">
        <v>12</v>
      </c>
      <c r="E75" s="40" t="s">
        <v>26</v>
      </c>
      <c r="F75" s="40" t="s">
        <v>19</v>
      </c>
      <c r="G75" s="40" t="s">
        <v>14</v>
      </c>
      <c r="H75" s="40">
        <v>11270</v>
      </c>
      <c r="I75" s="40" t="s">
        <v>0</v>
      </c>
      <c r="J75" s="64"/>
      <c r="K75" s="64"/>
      <c r="L75" s="57"/>
      <c r="M75" s="28">
        <f t="shared" si="7"/>
        <v>14609403</v>
      </c>
      <c r="N75" s="28">
        <f t="shared" si="7"/>
        <v>0</v>
      </c>
      <c r="O75" s="28">
        <f t="shared" si="7"/>
        <v>0</v>
      </c>
      <c r="P75" s="25">
        <f t="shared" si="6"/>
        <v>0</v>
      </c>
    </row>
    <row r="76" spans="1:16" ht="33.75" customHeight="1">
      <c r="A76" s="45" t="s">
        <v>70</v>
      </c>
      <c r="B76" s="40" t="s">
        <v>30</v>
      </c>
      <c r="C76" s="40">
        <v>0</v>
      </c>
      <c r="D76" s="63">
        <v>12</v>
      </c>
      <c r="E76" s="40" t="s">
        <v>26</v>
      </c>
      <c r="F76" s="40" t="s">
        <v>19</v>
      </c>
      <c r="G76" s="40" t="s">
        <v>14</v>
      </c>
      <c r="H76" s="40">
        <v>11270</v>
      </c>
      <c r="I76" s="40" t="s">
        <v>71</v>
      </c>
      <c r="J76" s="64"/>
      <c r="K76" s="64"/>
      <c r="L76" s="57"/>
      <c r="M76" s="28">
        <f>M77</f>
        <v>14609403</v>
      </c>
      <c r="N76" s="28">
        <f t="shared" si="7"/>
        <v>0</v>
      </c>
      <c r="O76" s="28">
        <f t="shared" si="7"/>
        <v>0</v>
      </c>
      <c r="P76" s="25">
        <f t="shared" si="6"/>
        <v>0</v>
      </c>
    </row>
    <row r="77" spans="1:16" ht="19.5" customHeight="1">
      <c r="A77" s="39" t="s">
        <v>64</v>
      </c>
      <c r="B77" s="11"/>
      <c r="C77" s="11"/>
      <c r="D77" s="11"/>
      <c r="E77" s="11"/>
      <c r="F77" s="11"/>
      <c r="G77" s="11"/>
      <c r="H77" s="11"/>
      <c r="I77" s="11"/>
      <c r="J77" s="57"/>
      <c r="K77" s="57"/>
      <c r="L77" s="65"/>
      <c r="M77" s="25">
        <f t="shared" si="7"/>
        <v>14609403</v>
      </c>
      <c r="N77" s="25">
        <f t="shared" si="7"/>
        <v>0</v>
      </c>
      <c r="O77" s="25">
        <f t="shared" si="7"/>
        <v>0</v>
      </c>
      <c r="P77" s="25">
        <f t="shared" si="6"/>
        <v>0</v>
      </c>
    </row>
    <row r="78" spans="1:16" ht="31.5" customHeight="1">
      <c r="A78" s="43" t="s">
        <v>128</v>
      </c>
      <c r="B78" s="11" t="s">
        <v>30</v>
      </c>
      <c r="C78" s="11">
        <v>0</v>
      </c>
      <c r="D78" s="11">
        <v>12</v>
      </c>
      <c r="E78" s="11" t="s">
        <v>26</v>
      </c>
      <c r="F78" s="11" t="s">
        <v>19</v>
      </c>
      <c r="G78" s="11" t="s">
        <v>14</v>
      </c>
      <c r="H78" s="11">
        <v>11270</v>
      </c>
      <c r="I78" s="11" t="s">
        <v>71</v>
      </c>
      <c r="J78" s="57" t="s">
        <v>84</v>
      </c>
      <c r="K78" s="66">
        <v>1119.92</v>
      </c>
      <c r="L78" s="65">
        <v>2017</v>
      </c>
      <c r="M78" s="30">
        <f>13609403+1000000</f>
        <v>14609403</v>
      </c>
      <c r="N78" s="30">
        <v>0</v>
      </c>
      <c r="O78" s="30">
        <v>0</v>
      </c>
      <c r="P78" s="25">
        <f>O78/M78*100</f>
        <v>0</v>
      </c>
    </row>
    <row r="79" spans="1:16" ht="21.75" customHeight="1">
      <c r="A79" s="14" t="s">
        <v>194</v>
      </c>
      <c r="B79" s="63" t="s">
        <v>30</v>
      </c>
      <c r="C79" s="63">
        <v>0</v>
      </c>
      <c r="D79" s="63">
        <v>12</v>
      </c>
      <c r="E79" s="63">
        <v>815</v>
      </c>
      <c r="F79" s="67"/>
      <c r="G79" s="67"/>
      <c r="H79" s="11"/>
      <c r="I79" s="11"/>
      <c r="J79" s="57"/>
      <c r="K79" s="66"/>
      <c r="L79" s="65"/>
      <c r="M79" s="28">
        <f>M80</f>
        <v>31000000</v>
      </c>
      <c r="N79" s="28">
        <f aca="true" t="shared" si="8" ref="N79:O82">N80</f>
        <v>0</v>
      </c>
      <c r="O79" s="28">
        <f t="shared" si="8"/>
        <v>0</v>
      </c>
      <c r="P79" s="25">
        <f t="shared" si="6"/>
        <v>0</v>
      </c>
    </row>
    <row r="80" spans="1:16" ht="18" customHeight="1">
      <c r="A80" s="14" t="s">
        <v>31</v>
      </c>
      <c r="B80" s="63" t="s">
        <v>30</v>
      </c>
      <c r="C80" s="63">
        <v>0</v>
      </c>
      <c r="D80" s="63">
        <v>12</v>
      </c>
      <c r="E80" s="63">
        <v>815</v>
      </c>
      <c r="F80" s="63" t="s">
        <v>19</v>
      </c>
      <c r="G80" s="63" t="s">
        <v>0</v>
      </c>
      <c r="H80" s="11"/>
      <c r="I80" s="11"/>
      <c r="J80" s="57"/>
      <c r="K80" s="66"/>
      <c r="L80" s="65"/>
      <c r="M80" s="28">
        <f>M81</f>
        <v>31000000</v>
      </c>
      <c r="N80" s="28">
        <f t="shared" si="8"/>
        <v>0</v>
      </c>
      <c r="O80" s="28">
        <f t="shared" si="8"/>
        <v>0</v>
      </c>
      <c r="P80" s="25">
        <f t="shared" si="6"/>
        <v>0</v>
      </c>
    </row>
    <row r="81" spans="1:16" ht="20.25" customHeight="1">
      <c r="A81" s="14" t="s">
        <v>32</v>
      </c>
      <c r="B81" s="63" t="s">
        <v>30</v>
      </c>
      <c r="C81" s="63">
        <v>0</v>
      </c>
      <c r="D81" s="63">
        <v>12</v>
      </c>
      <c r="E81" s="63">
        <v>815</v>
      </c>
      <c r="F81" s="63" t="s">
        <v>19</v>
      </c>
      <c r="G81" s="63" t="s">
        <v>14</v>
      </c>
      <c r="H81" s="11"/>
      <c r="I81" s="11"/>
      <c r="J81" s="57"/>
      <c r="K81" s="66"/>
      <c r="L81" s="65"/>
      <c r="M81" s="28">
        <f>M82</f>
        <v>31000000</v>
      </c>
      <c r="N81" s="28">
        <f t="shared" si="8"/>
        <v>0</v>
      </c>
      <c r="O81" s="28">
        <f t="shared" si="8"/>
        <v>0</v>
      </c>
      <c r="P81" s="25">
        <f t="shared" si="6"/>
        <v>0</v>
      </c>
    </row>
    <row r="82" spans="1:16" ht="34.5" customHeight="1">
      <c r="A82" s="45" t="s">
        <v>74</v>
      </c>
      <c r="B82" s="40" t="s">
        <v>30</v>
      </c>
      <c r="C82" s="40">
        <v>0</v>
      </c>
      <c r="D82" s="63">
        <v>12</v>
      </c>
      <c r="E82" s="63">
        <v>815</v>
      </c>
      <c r="F82" s="40" t="s">
        <v>19</v>
      </c>
      <c r="G82" s="40" t="s">
        <v>14</v>
      </c>
      <c r="H82" s="40">
        <v>11270</v>
      </c>
      <c r="I82" s="40" t="s">
        <v>0</v>
      </c>
      <c r="J82" s="57"/>
      <c r="K82" s="66"/>
      <c r="L82" s="65"/>
      <c r="M82" s="28">
        <f>M83</f>
        <v>31000000</v>
      </c>
      <c r="N82" s="28">
        <f t="shared" si="8"/>
        <v>0</v>
      </c>
      <c r="O82" s="28">
        <f t="shared" si="8"/>
        <v>0</v>
      </c>
      <c r="P82" s="25">
        <f t="shared" si="6"/>
        <v>0</v>
      </c>
    </row>
    <row r="83" spans="1:16" ht="31.5" customHeight="1">
      <c r="A83" s="45" t="s">
        <v>70</v>
      </c>
      <c r="B83" s="40" t="s">
        <v>30</v>
      </c>
      <c r="C83" s="40">
        <v>0</v>
      </c>
      <c r="D83" s="63">
        <v>12</v>
      </c>
      <c r="E83" s="63">
        <v>815</v>
      </c>
      <c r="F83" s="40" t="s">
        <v>19</v>
      </c>
      <c r="G83" s="40" t="s">
        <v>14</v>
      </c>
      <c r="H83" s="40">
        <v>11270</v>
      </c>
      <c r="I83" s="40" t="s">
        <v>71</v>
      </c>
      <c r="J83" s="57"/>
      <c r="K83" s="66"/>
      <c r="L83" s="65"/>
      <c r="M83" s="28">
        <f>M85</f>
        <v>31000000</v>
      </c>
      <c r="N83" s="28">
        <f>N85</f>
        <v>0</v>
      </c>
      <c r="O83" s="28">
        <f>O85</f>
        <v>0</v>
      </c>
      <c r="P83" s="25">
        <f t="shared" si="6"/>
        <v>0</v>
      </c>
    </row>
    <row r="84" spans="1:16" ht="21.75" customHeight="1">
      <c r="A84" s="45" t="s">
        <v>97</v>
      </c>
      <c r="B84" s="40"/>
      <c r="C84" s="40"/>
      <c r="D84" s="63"/>
      <c r="E84" s="63"/>
      <c r="F84" s="40"/>
      <c r="G84" s="40"/>
      <c r="H84" s="40"/>
      <c r="I84" s="40"/>
      <c r="J84" s="57"/>
      <c r="K84" s="66"/>
      <c r="L84" s="65"/>
      <c r="M84" s="28">
        <f>M85</f>
        <v>31000000</v>
      </c>
      <c r="N84" s="28">
        <f>N85</f>
        <v>0</v>
      </c>
      <c r="O84" s="28">
        <f>O85</f>
        <v>0</v>
      </c>
      <c r="P84" s="25">
        <f t="shared" si="6"/>
        <v>0</v>
      </c>
    </row>
    <row r="85" spans="1:16" ht="48.75" customHeight="1">
      <c r="A85" s="43" t="s">
        <v>279</v>
      </c>
      <c r="B85" s="11">
        <v>15</v>
      </c>
      <c r="C85" s="11">
        <v>0</v>
      </c>
      <c r="D85" s="11">
        <v>12</v>
      </c>
      <c r="E85" s="67">
        <v>815</v>
      </c>
      <c r="F85" s="11" t="s">
        <v>19</v>
      </c>
      <c r="G85" s="11" t="s">
        <v>14</v>
      </c>
      <c r="H85" s="11">
        <v>11270</v>
      </c>
      <c r="I85" s="11" t="s">
        <v>71</v>
      </c>
      <c r="J85" s="57"/>
      <c r="K85" s="66"/>
      <c r="L85" s="65">
        <v>2017</v>
      </c>
      <c r="M85" s="30">
        <v>31000000</v>
      </c>
      <c r="N85" s="30">
        <v>0</v>
      </c>
      <c r="O85" s="30">
        <v>0</v>
      </c>
      <c r="P85" s="24">
        <f>O85/M85</f>
        <v>0</v>
      </c>
    </row>
    <row r="86" spans="1:16" ht="22.5" customHeight="1">
      <c r="A86" s="45" t="s">
        <v>33</v>
      </c>
      <c r="B86" s="40">
        <v>16</v>
      </c>
      <c r="C86" s="40">
        <v>0</v>
      </c>
      <c r="D86" s="40">
        <v>14</v>
      </c>
      <c r="E86" s="40"/>
      <c r="F86" s="40"/>
      <c r="G86" s="40"/>
      <c r="H86" s="40"/>
      <c r="I86" s="40"/>
      <c r="J86" s="64"/>
      <c r="K86" s="64"/>
      <c r="L86" s="65"/>
      <c r="M86" s="28">
        <f>M89</f>
        <v>114518106.5</v>
      </c>
      <c r="N86" s="28">
        <f>N89</f>
        <v>2500000</v>
      </c>
      <c r="O86" s="28">
        <f>O89</f>
        <v>0</v>
      </c>
      <c r="P86" s="25">
        <f aca="true" t="shared" si="9" ref="P86:P93">O86/M86</f>
        <v>0</v>
      </c>
    </row>
    <row r="87" spans="1:16" ht="21" customHeight="1">
      <c r="A87" s="14" t="s">
        <v>99</v>
      </c>
      <c r="B87" s="63">
        <v>16</v>
      </c>
      <c r="C87" s="63">
        <v>0</v>
      </c>
      <c r="D87" s="63">
        <v>14</v>
      </c>
      <c r="E87" s="40"/>
      <c r="F87" s="40"/>
      <c r="G87" s="40"/>
      <c r="H87" s="40"/>
      <c r="I87" s="40"/>
      <c r="J87" s="64"/>
      <c r="K87" s="64"/>
      <c r="L87" s="57"/>
      <c r="M87" s="28">
        <f aca="true" t="shared" si="10" ref="M87:O88">M88</f>
        <v>114518106.5</v>
      </c>
      <c r="N87" s="28">
        <f t="shared" si="10"/>
        <v>2500000</v>
      </c>
      <c r="O87" s="28">
        <f t="shared" si="10"/>
        <v>0</v>
      </c>
      <c r="P87" s="25">
        <f t="shared" si="9"/>
        <v>0</v>
      </c>
    </row>
    <row r="88" spans="1:16" ht="19.5" customHeight="1">
      <c r="A88" s="45" t="s">
        <v>25</v>
      </c>
      <c r="B88" s="40" t="s">
        <v>34</v>
      </c>
      <c r="C88" s="40">
        <v>0</v>
      </c>
      <c r="D88" s="63">
        <v>14</v>
      </c>
      <c r="E88" s="40" t="s">
        <v>26</v>
      </c>
      <c r="F88" s="11" t="s">
        <v>0</v>
      </c>
      <c r="G88" s="11" t="s">
        <v>0</v>
      </c>
      <c r="H88" s="11"/>
      <c r="I88" s="11"/>
      <c r="J88" s="57"/>
      <c r="K88" s="57"/>
      <c r="L88" s="57"/>
      <c r="M88" s="28">
        <f t="shared" si="10"/>
        <v>114518106.5</v>
      </c>
      <c r="N88" s="28">
        <f t="shared" si="10"/>
        <v>2500000</v>
      </c>
      <c r="O88" s="28">
        <f t="shared" si="10"/>
        <v>0</v>
      </c>
      <c r="P88" s="25">
        <f t="shared" si="9"/>
        <v>0</v>
      </c>
    </row>
    <row r="89" spans="1:16" ht="19.5" customHeight="1">
      <c r="A89" s="45" t="s">
        <v>20</v>
      </c>
      <c r="B89" s="40" t="s">
        <v>34</v>
      </c>
      <c r="C89" s="40">
        <v>0</v>
      </c>
      <c r="D89" s="63">
        <v>14</v>
      </c>
      <c r="E89" s="40" t="s">
        <v>26</v>
      </c>
      <c r="F89" s="40" t="s">
        <v>21</v>
      </c>
      <c r="G89" s="40"/>
      <c r="H89" s="40"/>
      <c r="I89" s="40"/>
      <c r="J89" s="64"/>
      <c r="K89" s="64"/>
      <c r="L89" s="57"/>
      <c r="M89" s="28">
        <f>M95+M90+M104</f>
        <v>114518106.5</v>
      </c>
      <c r="N89" s="28">
        <f>N95+N90+N104</f>
        <v>2500000</v>
      </c>
      <c r="O89" s="28">
        <f>O95+O90+O104</f>
        <v>0</v>
      </c>
      <c r="P89" s="25">
        <f t="shared" si="9"/>
        <v>0</v>
      </c>
    </row>
    <row r="90" spans="1:16" ht="19.5" customHeight="1">
      <c r="A90" s="45" t="s">
        <v>36</v>
      </c>
      <c r="B90" s="40" t="s">
        <v>34</v>
      </c>
      <c r="C90" s="40">
        <v>0</v>
      </c>
      <c r="D90" s="63">
        <v>14</v>
      </c>
      <c r="E90" s="40" t="s">
        <v>26</v>
      </c>
      <c r="F90" s="40" t="s">
        <v>21</v>
      </c>
      <c r="G90" s="40" t="s">
        <v>15</v>
      </c>
      <c r="H90" s="40"/>
      <c r="I90" s="40"/>
      <c r="J90" s="64"/>
      <c r="K90" s="64"/>
      <c r="L90" s="57"/>
      <c r="M90" s="28">
        <f>M91</f>
        <v>500000</v>
      </c>
      <c r="N90" s="28">
        <f aca="true" t="shared" si="11" ref="N90:O93">N91</f>
        <v>0</v>
      </c>
      <c r="O90" s="28">
        <f t="shared" si="11"/>
        <v>0</v>
      </c>
      <c r="P90" s="25">
        <f t="shared" si="9"/>
        <v>0</v>
      </c>
    </row>
    <row r="91" spans="1:16" ht="35.25" customHeight="1">
      <c r="A91" s="45" t="s">
        <v>74</v>
      </c>
      <c r="B91" s="40" t="s">
        <v>34</v>
      </c>
      <c r="C91" s="40">
        <v>0</v>
      </c>
      <c r="D91" s="63">
        <v>14</v>
      </c>
      <c r="E91" s="40" t="s">
        <v>26</v>
      </c>
      <c r="F91" s="40" t="s">
        <v>21</v>
      </c>
      <c r="G91" s="40" t="s">
        <v>15</v>
      </c>
      <c r="H91" s="40">
        <v>11270</v>
      </c>
      <c r="I91" s="40"/>
      <c r="J91" s="64"/>
      <c r="K91" s="64"/>
      <c r="L91" s="57"/>
      <c r="M91" s="28">
        <f>M92</f>
        <v>500000</v>
      </c>
      <c r="N91" s="28">
        <f t="shared" si="11"/>
        <v>0</v>
      </c>
      <c r="O91" s="28">
        <f t="shared" si="11"/>
        <v>0</v>
      </c>
      <c r="P91" s="25">
        <f t="shared" si="9"/>
        <v>0</v>
      </c>
    </row>
    <row r="92" spans="1:16" ht="31.5" customHeight="1">
      <c r="A92" s="45" t="s">
        <v>70</v>
      </c>
      <c r="B92" s="40" t="s">
        <v>34</v>
      </c>
      <c r="C92" s="40">
        <v>0</v>
      </c>
      <c r="D92" s="63">
        <v>14</v>
      </c>
      <c r="E92" s="40" t="s">
        <v>26</v>
      </c>
      <c r="F92" s="40" t="s">
        <v>21</v>
      </c>
      <c r="G92" s="40" t="s">
        <v>15</v>
      </c>
      <c r="H92" s="40">
        <v>11270</v>
      </c>
      <c r="I92" s="40">
        <v>522</v>
      </c>
      <c r="J92" s="64"/>
      <c r="K92" s="64"/>
      <c r="L92" s="57"/>
      <c r="M92" s="28">
        <f>M93</f>
        <v>500000</v>
      </c>
      <c r="N92" s="28">
        <f t="shared" si="11"/>
        <v>0</v>
      </c>
      <c r="O92" s="28">
        <f t="shared" si="11"/>
        <v>0</v>
      </c>
      <c r="P92" s="25">
        <f t="shared" si="9"/>
        <v>0</v>
      </c>
    </row>
    <row r="93" spans="1:16" ht="19.5" customHeight="1">
      <c r="A93" s="45" t="s">
        <v>56</v>
      </c>
      <c r="B93" s="40"/>
      <c r="C93" s="40"/>
      <c r="D93" s="63"/>
      <c r="E93" s="40"/>
      <c r="F93" s="40"/>
      <c r="G93" s="40"/>
      <c r="H93" s="40"/>
      <c r="I93" s="40"/>
      <c r="J93" s="64"/>
      <c r="K93" s="64"/>
      <c r="L93" s="57"/>
      <c r="M93" s="28">
        <f>M94</f>
        <v>500000</v>
      </c>
      <c r="N93" s="28">
        <f t="shared" si="11"/>
        <v>0</v>
      </c>
      <c r="O93" s="28">
        <f t="shared" si="11"/>
        <v>0</v>
      </c>
      <c r="P93" s="25">
        <f t="shared" si="9"/>
        <v>0</v>
      </c>
    </row>
    <row r="94" spans="1:16" ht="31.5" customHeight="1">
      <c r="A94" s="43" t="s">
        <v>163</v>
      </c>
      <c r="B94" s="11" t="s">
        <v>34</v>
      </c>
      <c r="C94" s="11">
        <v>0</v>
      </c>
      <c r="D94" s="67">
        <v>14</v>
      </c>
      <c r="E94" s="11" t="s">
        <v>26</v>
      </c>
      <c r="F94" s="11" t="s">
        <v>21</v>
      </c>
      <c r="G94" s="11" t="s">
        <v>15</v>
      </c>
      <c r="H94" s="11">
        <v>11270</v>
      </c>
      <c r="I94" s="11" t="s">
        <v>71</v>
      </c>
      <c r="J94" s="57" t="s">
        <v>245</v>
      </c>
      <c r="K94" s="57">
        <v>48</v>
      </c>
      <c r="L94" s="65"/>
      <c r="M94" s="30">
        <v>500000</v>
      </c>
      <c r="N94" s="30">
        <v>0</v>
      </c>
      <c r="O94" s="30">
        <v>0</v>
      </c>
      <c r="P94" s="24">
        <f>O94/M94</f>
        <v>0</v>
      </c>
    </row>
    <row r="95" spans="1:16" ht="21" customHeight="1">
      <c r="A95" s="45" t="s">
        <v>35</v>
      </c>
      <c r="B95" s="40" t="s">
        <v>34</v>
      </c>
      <c r="C95" s="40">
        <v>0</v>
      </c>
      <c r="D95" s="63">
        <v>14</v>
      </c>
      <c r="E95" s="40" t="s">
        <v>26</v>
      </c>
      <c r="F95" s="40" t="s">
        <v>21</v>
      </c>
      <c r="G95" s="40" t="s">
        <v>14</v>
      </c>
      <c r="H95" s="40"/>
      <c r="I95" s="40"/>
      <c r="J95" s="64"/>
      <c r="K95" s="64"/>
      <c r="L95" s="57"/>
      <c r="M95" s="28">
        <f aca="true" t="shared" si="12" ref="M95:O96">M96</f>
        <v>74018106.5</v>
      </c>
      <c r="N95" s="28">
        <f t="shared" si="12"/>
        <v>2500000</v>
      </c>
      <c r="O95" s="28">
        <f t="shared" si="12"/>
        <v>0</v>
      </c>
      <c r="P95" s="25">
        <f>O95/M95</f>
        <v>0</v>
      </c>
    </row>
    <row r="96" spans="1:16" ht="35.25" customHeight="1">
      <c r="A96" s="45" t="s">
        <v>74</v>
      </c>
      <c r="B96" s="40" t="s">
        <v>34</v>
      </c>
      <c r="C96" s="40">
        <v>0</v>
      </c>
      <c r="D96" s="63">
        <v>14</v>
      </c>
      <c r="E96" s="40" t="s">
        <v>26</v>
      </c>
      <c r="F96" s="40" t="s">
        <v>21</v>
      </c>
      <c r="G96" s="40" t="s">
        <v>14</v>
      </c>
      <c r="H96" s="40">
        <v>11270</v>
      </c>
      <c r="I96" s="40" t="s">
        <v>0</v>
      </c>
      <c r="J96" s="64"/>
      <c r="K96" s="64"/>
      <c r="L96" s="57"/>
      <c r="M96" s="28">
        <f t="shared" si="12"/>
        <v>74018106.5</v>
      </c>
      <c r="N96" s="28">
        <f t="shared" si="12"/>
        <v>2500000</v>
      </c>
      <c r="O96" s="28">
        <f t="shared" si="12"/>
        <v>0</v>
      </c>
      <c r="P96" s="25">
        <f>O96/M96</f>
        <v>0</v>
      </c>
    </row>
    <row r="97" spans="1:16" ht="33.75" customHeight="1">
      <c r="A97" s="45" t="s">
        <v>70</v>
      </c>
      <c r="B97" s="40" t="s">
        <v>34</v>
      </c>
      <c r="C97" s="40">
        <v>0</v>
      </c>
      <c r="D97" s="63">
        <v>14</v>
      </c>
      <c r="E97" s="40" t="s">
        <v>26</v>
      </c>
      <c r="F97" s="40" t="s">
        <v>21</v>
      </c>
      <c r="G97" s="40" t="s">
        <v>14</v>
      </c>
      <c r="H97" s="40">
        <v>11270</v>
      </c>
      <c r="I97" s="40" t="s">
        <v>71</v>
      </c>
      <c r="J97" s="64"/>
      <c r="K97" s="64"/>
      <c r="L97" s="57"/>
      <c r="M97" s="28">
        <f>M99+M101+M103</f>
        <v>74018106.5</v>
      </c>
      <c r="N97" s="28">
        <f>N99+N101+N103</f>
        <v>2500000</v>
      </c>
      <c r="O97" s="28">
        <f>O99+O101+O103</f>
        <v>0</v>
      </c>
      <c r="P97" s="25">
        <f>O97/M97</f>
        <v>0</v>
      </c>
    </row>
    <row r="98" spans="1:16" ht="20.25" customHeight="1">
      <c r="A98" s="73" t="s">
        <v>63</v>
      </c>
      <c r="B98" s="11"/>
      <c r="C98" s="11"/>
      <c r="D98" s="11"/>
      <c r="E98" s="11"/>
      <c r="F98" s="11"/>
      <c r="G98" s="11"/>
      <c r="H98" s="11"/>
      <c r="I98" s="11"/>
      <c r="J98" s="69"/>
      <c r="K98" s="70"/>
      <c r="L98" s="71"/>
      <c r="M98" s="28">
        <f>M99</f>
        <v>69555066</v>
      </c>
      <c r="N98" s="28">
        <f>N99</f>
        <v>2500000</v>
      </c>
      <c r="O98" s="28">
        <f>O99</f>
        <v>0</v>
      </c>
      <c r="P98" s="25">
        <f>O98/M98</f>
        <v>0</v>
      </c>
    </row>
    <row r="99" spans="1:16" ht="20.25" customHeight="1">
      <c r="A99" s="72" t="s">
        <v>130</v>
      </c>
      <c r="B99" s="11" t="s">
        <v>34</v>
      </c>
      <c r="C99" s="11">
        <v>0</v>
      </c>
      <c r="D99" s="11">
        <v>14</v>
      </c>
      <c r="E99" s="11" t="s">
        <v>26</v>
      </c>
      <c r="F99" s="11" t="s">
        <v>21</v>
      </c>
      <c r="G99" s="11" t="s">
        <v>14</v>
      </c>
      <c r="H99" s="11">
        <v>11270</v>
      </c>
      <c r="I99" s="11" t="s">
        <v>71</v>
      </c>
      <c r="J99" s="69" t="s">
        <v>53</v>
      </c>
      <c r="K99" s="70">
        <v>150</v>
      </c>
      <c r="L99" s="71" t="s">
        <v>169</v>
      </c>
      <c r="M99" s="24">
        <f>62362602+1012399.36+180064.64+6000000</f>
        <v>69555066</v>
      </c>
      <c r="N99" s="24">
        <v>2500000</v>
      </c>
      <c r="O99" s="24">
        <v>0</v>
      </c>
      <c r="P99" s="24">
        <f>O99/M99*100</f>
        <v>0</v>
      </c>
    </row>
    <row r="100" spans="1:16" ht="18" customHeight="1">
      <c r="A100" s="73" t="s">
        <v>60</v>
      </c>
      <c r="B100" s="11"/>
      <c r="C100" s="11"/>
      <c r="D100" s="11"/>
      <c r="E100" s="11"/>
      <c r="F100" s="11"/>
      <c r="G100" s="11"/>
      <c r="H100" s="11"/>
      <c r="I100" s="11"/>
      <c r="J100" s="69"/>
      <c r="K100" s="70"/>
      <c r="L100" s="71"/>
      <c r="M100" s="25">
        <f>M101</f>
        <v>1500000</v>
      </c>
      <c r="N100" s="25">
        <f>N101</f>
        <v>0</v>
      </c>
      <c r="O100" s="25">
        <f>O101</f>
        <v>0</v>
      </c>
      <c r="P100" s="25">
        <f aca="true" t="shared" si="13" ref="P100:P117">O100/M100*100</f>
        <v>0</v>
      </c>
    </row>
    <row r="101" spans="1:16" ht="20.25" customHeight="1">
      <c r="A101" s="72" t="s">
        <v>314</v>
      </c>
      <c r="B101" s="11" t="s">
        <v>34</v>
      </c>
      <c r="C101" s="11">
        <v>0</v>
      </c>
      <c r="D101" s="11">
        <v>14</v>
      </c>
      <c r="E101" s="11" t="s">
        <v>26</v>
      </c>
      <c r="F101" s="11" t="s">
        <v>21</v>
      </c>
      <c r="G101" s="11" t="s">
        <v>14</v>
      </c>
      <c r="H101" s="11">
        <v>11270</v>
      </c>
      <c r="I101" s="11" t="s">
        <v>71</v>
      </c>
      <c r="J101" s="69" t="s">
        <v>53</v>
      </c>
      <c r="K101" s="70">
        <v>75</v>
      </c>
      <c r="L101" s="71" t="s">
        <v>358</v>
      </c>
      <c r="M101" s="24">
        <f>18406953-180064.64-16726888.36</f>
        <v>1500000</v>
      </c>
      <c r="N101" s="24">
        <v>0</v>
      </c>
      <c r="O101" s="24">
        <v>0</v>
      </c>
      <c r="P101" s="24">
        <f t="shared" si="13"/>
        <v>0</v>
      </c>
    </row>
    <row r="102" spans="1:16" ht="20.25" customHeight="1">
      <c r="A102" s="73" t="s">
        <v>82</v>
      </c>
      <c r="B102" s="11"/>
      <c r="C102" s="11"/>
      <c r="D102" s="11"/>
      <c r="E102" s="11"/>
      <c r="F102" s="11"/>
      <c r="G102" s="11"/>
      <c r="H102" s="11"/>
      <c r="I102" s="11"/>
      <c r="J102" s="69"/>
      <c r="K102" s="70"/>
      <c r="L102" s="71"/>
      <c r="M102" s="25">
        <f>M103</f>
        <v>2963040.5</v>
      </c>
      <c r="N102" s="25">
        <f>N103</f>
        <v>0</v>
      </c>
      <c r="O102" s="25">
        <f>O103</f>
        <v>0</v>
      </c>
      <c r="P102" s="25">
        <f t="shared" si="13"/>
        <v>0</v>
      </c>
    </row>
    <row r="103" spans="1:16" ht="19.5" customHeight="1">
      <c r="A103" s="72" t="s">
        <v>156</v>
      </c>
      <c r="B103" s="11" t="s">
        <v>34</v>
      </c>
      <c r="C103" s="11">
        <v>0</v>
      </c>
      <c r="D103" s="11">
        <v>14</v>
      </c>
      <c r="E103" s="11" t="s">
        <v>26</v>
      </c>
      <c r="F103" s="11" t="s">
        <v>21</v>
      </c>
      <c r="G103" s="11" t="s">
        <v>14</v>
      </c>
      <c r="H103" s="11">
        <v>11270</v>
      </c>
      <c r="I103" s="11" t="s">
        <v>71</v>
      </c>
      <c r="J103" s="69" t="s">
        <v>132</v>
      </c>
      <c r="K103" s="70">
        <v>62</v>
      </c>
      <c r="L103" s="71" t="s">
        <v>169</v>
      </c>
      <c r="M103" s="24">
        <v>2963040.5</v>
      </c>
      <c r="N103" s="30">
        <v>0</v>
      </c>
      <c r="O103" s="30">
        <v>0</v>
      </c>
      <c r="P103" s="24">
        <f t="shared" si="13"/>
        <v>0</v>
      </c>
    </row>
    <row r="104" spans="1:16" ht="18" customHeight="1">
      <c r="A104" s="73" t="s">
        <v>412</v>
      </c>
      <c r="B104" s="40" t="s">
        <v>34</v>
      </c>
      <c r="C104" s="40">
        <v>0</v>
      </c>
      <c r="D104" s="63">
        <v>14</v>
      </c>
      <c r="E104" s="40" t="s">
        <v>26</v>
      </c>
      <c r="F104" s="40" t="s">
        <v>21</v>
      </c>
      <c r="G104" s="46" t="s">
        <v>413</v>
      </c>
      <c r="H104" s="11"/>
      <c r="I104" s="11"/>
      <c r="J104" s="69"/>
      <c r="K104" s="70"/>
      <c r="L104" s="71"/>
      <c r="M104" s="25">
        <f aca="true" t="shared" si="14" ref="M104:O105">M105</f>
        <v>40000000</v>
      </c>
      <c r="N104" s="25">
        <f t="shared" si="14"/>
        <v>0</v>
      </c>
      <c r="O104" s="25">
        <f t="shared" si="14"/>
        <v>0</v>
      </c>
      <c r="P104" s="25">
        <f t="shared" si="13"/>
        <v>0</v>
      </c>
    </row>
    <row r="105" spans="1:16" ht="33" customHeight="1">
      <c r="A105" s="45" t="s">
        <v>74</v>
      </c>
      <c r="B105" s="40" t="s">
        <v>34</v>
      </c>
      <c r="C105" s="40">
        <v>0</v>
      </c>
      <c r="D105" s="63">
        <v>14</v>
      </c>
      <c r="E105" s="40" t="s">
        <v>26</v>
      </c>
      <c r="F105" s="40" t="s">
        <v>21</v>
      </c>
      <c r="G105" s="46" t="s">
        <v>413</v>
      </c>
      <c r="H105" s="40">
        <v>11270</v>
      </c>
      <c r="I105" s="11"/>
      <c r="J105" s="69"/>
      <c r="K105" s="70"/>
      <c r="L105" s="71"/>
      <c r="M105" s="25">
        <f t="shared" si="14"/>
        <v>40000000</v>
      </c>
      <c r="N105" s="25">
        <f t="shared" si="14"/>
        <v>0</v>
      </c>
      <c r="O105" s="25">
        <f t="shared" si="14"/>
        <v>0</v>
      </c>
      <c r="P105" s="25">
        <f t="shared" si="13"/>
        <v>0</v>
      </c>
    </row>
    <row r="106" spans="1:16" ht="34.5" customHeight="1">
      <c r="A106" s="45" t="s">
        <v>70</v>
      </c>
      <c r="B106" s="40" t="s">
        <v>34</v>
      </c>
      <c r="C106" s="40">
        <v>0</v>
      </c>
      <c r="D106" s="63">
        <v>14</v>
      </c>
      <c r="E106" s="40" t="s">
        <v>26</v>
      </c>
      <c r="F106" s="40" t="s">
        <v>21</v>
      </c>
      <c r="G106" s="46" t="s">
        <v>413</v>
      </c>
      <c r="H106" s="40">
        <v>11270</v>
      </c>
      <c r="I106" s="40" t="s">
        <v>71</v>
      </c>
      <c r="J106" s="69"/>
      <c r="K106" s="70"/>
      <c r="L106" s="71"/>
      <c r="M106" s="25">
        <f>M108</f>
        <v>40000000</v>
      </c>
      <c r="N106" s="25">
        <f>N108</f>
        <v>0</v>
      </c>
      <c r="O106" s="25">
        <f>O108</f>
        <v>0</v>
      </c>
      <c r="P106" s="25">
        <f t="shared" si="13"/>
        <v>0</v>
      </c>
    </row>
    <row r="107" spans="1:16" ht="18.75" customHeight="1">
      <c r="A107" s="39" t="s">
        <v>123</v>
      </c>
      <c r="B107" s="11"/>
      <c r="C107" s="11"/>
      <c r="D107" s="11"/>
      <c r="E107" s="11"/>
      <c r="F107" s="11"/>
      <c r="G107" s="11"/>
      <c r="H107" s="11"/>
      <c r="I107" s="11"/>
      <c r="J107" s="69"/>
      <c r="K107" s="70"/>
      <c r="L107" s="71"/>
      <c r="M107" s="25">
        <f>M108</f>
        <v>40000000</v>
      </c>
      <c r="N107" s="25">
        <f>N108</f>
        <v>0</v>
      </c>
      <c r="O107" s="25">
        <f>O108</f>
        <v>0</v>
      </c>
      <c r="P107" s="25">
        <f t="shared" si="13"/>
        <v>0</v>
      </c>
    </row>
    <row r="108" spans="1:16" ht="50.25" customHeight="1">
      <c r="A108" s="43" t="s">
        <v>319</v>
      </c>
      <c r="B108" s="11" t="s">
        <v>34</v>
      </c>
      <c r="C108" s="11">
        <v>0</v>
      </c>
      <c r="D108" s="67">
        <v>14</v>
      </c>
      <c r="E108" s="11" t="s">
        <v>26</v>
      </c>
      <c r="F108" s="11" t="s">
        <v>21</v>
      </c>
      <c r="G108" s="74" t="s">
        <v>413</v>
      </c>
      <c r="H108" s="11">
        <v>11270</v>
      </c>
      <c r="I108" s="11" t="s">
        <v>71</v>
      </c>
      <c r="J108" s="57" t="s">
        <v>84</v>
      </c>
      <c r="K108" s="57">
        <v>935.7</v>
      </c>
      <c r="L108" s="65">
        <v>2017</v>
      </c>
      <c r="M108" s="30">
        <v>40000000</v>
      </c>
      <c r="N108" s="30">
        <v>0</v>
      </c>
      <c r="O108" s="30">
        <v>0</v>
      </c>
      <c r="P108" s="24">
        <f t="shared" si="13"/>
        <v>0</v>
      </c>
    </row>
    <row r="109" spans="1:16" ht="52.5" customHeight="1">
      <c r="A109" s="45" t="s">
        <v>280</v>
      </c>
      <c r="B109" s="40" t="s">
        <v>37</v>
      </c>
      <c r="C109" s="40"/>
      <c r="D109" s="40"/>
      <c r="E109" s="75" t="s">
        <v>0</v>
      </c>
      <c r="F109" s="40"/>
      <c r="G109" s="40"/>
      <c r="H109" s="40"/>
      <c r="I109" s="40"/>
      <c r="J109" s="41"/>
      <c r="K109" s="41"/>
      <c r="L109" s="42"/>
      <c r="M109" s="28">
        <f>M110</f>
        <v>300048000.08</v>
      </c>
      <c r="N109" s="28">
        <f>N110</f>
        <v>134257998.49</v>
      </c>
      <c r="O109" s="28">
        <f>O110</f>
        <v>76927457.32</v>
      </c>
      <c r="P109" s="25">
        <f t="shared" si="13"/>
        <v>25.63838362511641</v>
      </c>
    </row>
    <row r="110" spans="1:16" ht="33.75" customHeight="1">
      <c r="A110" s="45" t="s">
        <v>352</v>
      </c>
      <c r="B110" s="40" t="s">
        <v>37</v>
      </c>
      <c r="C110" s="40">
        <v>9</v>
      </c>
      <c r="D110" s="40"/>
      <c r="E110" s="75" t="s">
        <v>0</v>
      </c>
      <c r="F110" s="40"/>
      <c r="G110" s="40"/>
      <c r="H110" s="40"/>
      <c r="I110" s="40"/>
      <c r="J110" s="41"/>
      <c r="K110" s="41"/>
      <c r="L110" s="42"/>
      <c r="M110" s="28">
        <f>M112+M132+M133+M134</f>
        <v>300048000.08</v>
      </c>
      <c r="N110" s="28">
        <f>N112+N132+N133+N134</f>
        <v>134257998.49</v>
      </c>
      <c r="O110" s="28">
        <f>O112+O132+O133+O134</f>
        <v>76927457.32</v>
      </c>
      <c r="P110" s="25">
        <f t="shared" si="13"/>
        <v>25.63838362511641</v>
      </c>
    </row>
    <row r="111" spans="1:16" ht="30.75" customHeight="1">
      <c r="A111" s="14" t="s">
        <v>349</v>
      </c>
      <c r="B111" s="63" t="s">
        <v>37</v>
      </c>
      <c r="C111" s="63">
        <v>9</v>
      </c>
      <c r="D111" s="63">
        <v>94</v>
      </c>
      <c r="E111" s="75"/>
      <c r="F111" s="40"/>
      <c r="G111" s="40"/>
      <c r="H111" s="40"/>
      <c r="I111" s="40"/>
      <c r="J111" s="41"/>
      <c r="K111" s="41"/>
      <c r="L111" s="42"/>
      <c r="M111" s="28">
        <f>M112</f>
        <v>10069860</v>
      </c>
      <c r="N111" s="28">
        <f aca="true" t="shared" si="15" ref="N111:O115">N112</f>
        <v>878425.39</v>
      </c>
      <c r="O111" s="28">
        <f t="shared" si="15"/>
        <v>878425.39</v>
      </c>
      <c r="P111" s="25">
        <f t="shared" si="13"/>
        <v>8.723312836524043</v>
      </c>
    </row>
    <row r="112" spans="1:16" ht="20.25" customHeight="1">
      <c r="A112" s="14" t="s">
        <v>170</v>
      </c>
      <c r="B112" s="63" t="s">
        <v>37</v>
      </c>
      <c r="C112" s="63">
        <v>9</v>
      </c>
      <c r="D112" s="63">
        <v>94</v>
      </c>
      <c r="E112" s="76">
        <v>817</v>
      </c>
      <c r="F112" s="40"/>
      <c r="G112" s="40"/>
      <c r="H112" s="40"/>
      <c r="I112" s="40"/>
      <c r="J112" s="41"/>
      <c r="K112" s="41"/>
      <c r="L112" s="42"/>
      <c r="M112" s="28">
        <f>M113</f>
        <v>10069860</v>
      </c>
      <c r="N112" s="28">
        <f t="shared" si="15"/>
        <v>878425.39</v>
      </c>
      <c r="O112" s="28">
        <f t="shared" si="15"/>
        <v>878425.39</v>
      </c>
      <c r="P112" s="25">
        <f t="shared" si="13"/>
        <v>8.723312836524043</v>
      </c>
    </row>
    <row r="113" spans="1:16" ht="20.25" customHeight="1">
      <c r="A113" s="14" t="s">
        <v>18</v>
      </c>
      <c r="B113" s="63" t="s">
        <v>37</v>
      </c>
      <c r="C113" s="63">
        <v>9</v>
      </c>
      <c r="D113" s="63">
        <v>94</v>
      </c>
      <c r="E113" s="76" t="s">
        <v>171</v>
      </c>
      <c r="F113" s="40" t="s">
        <v>16</v>
      </c>
      <c r="G113" s="40" t="s">
        <v>0</v>
      </c>
      <c r="H113" s="40" t="s">
        <v>0</v>
      </c>
      <c r="I113" s="40" t="s">
        <v>0</v>
      </c>
      <c r="J113" s="41"/>
      <c r="K113" s="41"/>
      <c r="L113" s="42"/>
      <c r="M113" s="28">
        <f>M114</f>
        <v>10069860</v>
      </c>
      <c r="N113" s="28">
        <f t="shared" si="15"/>
        <v>878425.39</v>
      </c>
      <c r="O113" s="28">
        <f t="shared" si="15"/>
        <v>878425.39</v>
      </c>
      <c r="P113" s="25">
        <f t="shared" si="13"/>
        <v>8.723312836524043</v>
      </c>
    </row>
    <row r="114" spans="1:16" ht="19.5" customHeight="1">
      <c r="A114" s="14" t="s">
        <v>172</v>
      </c>
      <c r="B114" s="63" t="s">
        <v>37</v>
      </c>
      <c r="C114" s="63">
        <v>9</v>
      </c>
      <c r="D114" s="63">
        <v>94</v>
      </c>
      <c r="E114" s="76" t="s">
        <v>171</v>
      </c>
      <c r="F114" s="40" t="s">
        <v>16</v>
      </c>
      <c r="G114" s="40" t="s">
        <v>17</v>
      </c>
      <c r="H114" s="40" t="s">
        <v>0</v>
      </c>
      <c r="I114" s="40" t="s">
        <v>0</v>
      </c>
      <c r="J114" s="41"/>
      <c r="K114" s="41"/>
      <c r="L114" s="42"/>
      <c r="M114" s="28">
        <f>M115</f>
        <v>10069860</v>
      </c>
      <c r="N114" s="28">
        <f t="shared" si="15"/>
        <v>878425.39</v>
      </c>
      <c r="O114" s="28">
        <f t="shared" si="15"/>
        <v>878425.39</v>
      </c>
      <c r="P114" s="25">
        <f t="shared" si="13"/>
        <v>8.723312836524043</v>
      </c>
    </row>
    <row r="115" spans="1:16" ht="15.75">
      <c r="A115" s="14" t="s">
        <v>87</v>
      </c>
      <c r="B115" s="63" t="s">
        <v>37</v>
      </c>
      <c r="C115" s="63">
        <v>9</v>
      </c>
      <c r="D115" s="63">
        <v>94</v>
      </c>
      <c r="E115" s="76" t="s">
        <v>171</v>
      </c>
      <c r="F115" s="40" t="s">
        <v>16</v>
      </c>
      <c r="G115" s="40" t="s">
        <v>17</v>
      </c>
      <c r="H115" s="40" t="s">
        <v>246</v>
      </c>
      <c r="I115" s="40" t="s">
        <v>0</v>
      </c>
      <c r="J115" s="41"/>
      <c r="K115" s="41"/>
      <c r="L115" s="42"/>
      <c r="M115" s="28">
        <f>M116</f>
        <v>10069860</v>
      </c>
      <c r="N115" s="28">
        <f t="shared" si="15"/>
        <v>878425.39</v>
      </c>
      <c r="O115" s="28">
        <f t="shared" si="15"/>
        <v>878425.39</v>
      </c>
      <c r="P115" s="25">
        <f t="shared" si="13"/>
        <v>8.723312836524043</v>
      </c>
    </row>
    <row r="116" spans="1:16" ht="31.5">
      <c r="A116" s="14" t="s">
        <v>70</v>
      </c>
      <c r="B116" s="63" t="s">
        <v>37</v>
      </c>
      <c r="C116" s="63">
        <v>9</v>
      </c>
      <c r="D116" s="63">
        <v>94</v>
      </c>
      <c r="E116" s="76" t="s">
        <v>171</v>
      </c>
      <c r="F116" s="40" t="s">
        <v>16</v>
      </c>
      <c r="G116" s="40" t="s">
        <v>17</v>
      </c>
      <c r="H116" s="40" t="s">
        <v>246</v>
      </c>
      <c r="I116" s="40" t="s">
        <v>71</v>
      </c>
      <c r="J116" s="41"/>
      <c r="K116" s="41"/>
      <c r="L116" s="42"/>
      <c r="M116" s="28">
        <f>M119+M117</f>
        <v>10069860</v>
      </c>
      <c r="N116" s="28">
        <f>N119+N117</f>
        <v>878425.39</v>
      </c>
      <c r="O116" s="28">
        <f>O119+O117</f>
        <v>878425.39</v>
      </c>
      <c r="P116" s="25">
        <f t="shared" si="13"/>
        <v>8.723312836524043</v>
      </c>
    </row>
    <row r="117" spans="1:16" ht="15.75">
      <c r="A117" s="14" t="s">
        <v>56</v>
      </c>
      <c r="B117" s="63"/>
      <c r="C117" s="63"/>
      <c r="D117" s="63"/>
      <c r="E117" s="76"/>
      <c r="F117" s="40"/>
      <c r="G117" s="40"/>
      <c r="H117" s="40"/>
      <c r="I117" s="40"/>
      <c r="J117" s="41"/>
      <c r="K117" s="41"/>
      <c r="L117" s="42"/>
      <c r="M117" s="28">
        <f>M118</f>
        <v>1413146</v>
      </c>
      <c r="N117" s="28">
        <f>N118</f>
        <v>878425.39</v>
      </c>
      <c r="O117" s="28">
        <f>O118</f>
        <v>878425.39</v>
      </c>
      <c r="P117" s="25">
        <f t="shared" si="13"/>
        <v>62.16097912034567</v>
      </c>
    </row>
    <row r="118" spans="1:16" ht="34.5" customHeight="1">
      <c r="A118" s="77" t="s">
        <v>293</v>
      </c>
      <c r="B118" s="67" t="s">
        <v>37</v>
      </c>
      <c r="C118" s="67">
        <v>9</v>
      </c>
      <c r="D118" s="67">
        <v>94</v>
      </c>
      <c r="E118" s="11" t="s">
        <v>171</v>
      </c>
      <c r="F118" s="11" t="s">
        <v>16</v>
      </c>
      <c r="G118" s="11" t="s">
        <v>17</v>
      </c>
      <c r="H118" s="11" t="s">
        <v>246</v>
      </c>
      <c r="I118" s="11">
        <v>522</v>
      </c>
      <c r="J118" s="42" t="s">
        <v>294</v>
      </c>
      <c r="K118" s="42">
        <v>4508</v>
      </c>
      <c r="L118" s="42">
        <v>2017</v>
      </c>
      <c r="M118" s="30">
        <v>1413146</v>
      </c>
      <c r="N118" s="30">
        <v>878425.39</v>
      </c>
      <c r="O118" s="30">
        <v>878425.39</v>
      </c>
      <c r="P118" s="24">
        <f>O118/M118*100</f>
        <v>62.16097912034567</v>
      </c>
    </row>
    <row r="119" spans="1:16" ht="30.75" customHeight="1">
      <c r="A119" s="14" t="s">
        <v>297</v>
      </c>
      <c r="B119" s="63"/>
      <c r="C119" s="63"/>
      <c r="D119" s="63"/>
      <c r="E119" s="75"/>
      <c r="F119" s="40"/>
      <c r="G119" s="40"/>
      <c r="H119" s="40"/>
      <c r="I119" s="40"/>
      <c r="J119" s="41"/>
      <c r="K119" s="41"/>
      <c r="L119" s="42"/>
      <c r="M119" s="28">
        <f>M120+M124+M128</f>
        <v>8656714</v>
      </c>
      <c r="N119" s="28">
        <f>N120+N124+N128</f>
        <v>0</v>
      </c>
      <c r="O119" s="28">
        <f>O120+O124+O128</f>
        <v>0</v>
      </c>
      <c r="P119" s="25">
        <f>O119/M119*100</f>
        <v>0</v>
      </c>
    </row>
    <row r="120" spans="1:16" ht="30.75" customHeight="1">
      <c r="A120" s="77" t="s">
        <v>173</v>
      </c>
      <c r="B120" s="67" t="s">
        <v>37</v>
      </c>
      <c r="C120" s="67">
        <v>9</v>
      </c>
      <c r="D120" s="67">
        <v>94</v>
      </c>
      <c r="E120" s="11" t="s">
        <v>171</v>
      </c>
      <c r="F120" s="11" t="s">
        <v>16</v>
      </c>
      <c r="G120" s="11" t="s">
        <v>17</v>
      </c>
      <c r="H120" s="11" t="s">
        <v>246</v>
      </c>
      <c r="I120" s="11">
        <v>522</v>
      </c>
      <c r="J120" s="42" t="s">
        <v>58</v>
      </c>
      <c r="K120" s="42">
        <v>1.98</v>
      </c>
      <c r="L120" s="42">
        <v>2017</v>
      </c>
      <c r="M120" s="30">
        <f>M122+M123</f>
        <v>3489607</v>
      </c>
      <c r="N120" s="30">
        <f>N122+N123</f>
        <v>0</v>
      </c>
      <c r="O120" s="30">
        <f>O122+O123</f>
        <v>0</v>
      </c>
      <c r="P120" s="24">
        <f>O120/M120*100</f>
        <v>0</v>
      </c>
    </row>
    <row r="121" spans="1:16" ht="17.25" customHeight="1">
      <c r="A121" s="78" t="s">
        <v>49</v>
      </c>
      <c r="B121" s="67"/>
      <c r="C121" s="67"/>
      <c r="D121" s="67"/>
      <c r="E121" s="11"/>
      <c r="F121" s="11"/>
      <c r="G121" s="11"/>
      <c r="H121" s="11"/>
      <c r="I121" s="11"/>
      <c r="J121" s="42"/>
      <c r="K121" s="42"/>
      <c r="L121" s="42"/>
      <c r="M121" s="30"/>
      <c r="N121" s="30"/>
      <c r="O121" s="30"/>
      <c r="P121" s="24"/>
    </row>
    <row r="122" spans="1:16" ht="15.75">
      <c r="A122" s="78" t="s">
        <v>345</v>
      </c>
      <c r="B122" s="67"/>
      <c r="C122" s="67"/>
      <c r="D122" s="67"/>
      <c r="E122" s="11"/>
      <c r="F122" s="11"/>
      <c r="G122" s="11"/>
      <c r="H122" s="11"/>
      <c r="I122" s="11"/>
      <c r="J122" s="42"/>
      <c r="K122" s="42"/>
      <c r="L122" s="42"/>
      <c r="M122" s="30">
        <v>2442725</v>
      </c>
      <c r="N122" s="30">
        <v>0</v>
      </c>
      <c r="O122" s="30">
        <v>0</v>
      </c>
      <c r="P122" s="24">
        <f>O122/M122*100</f>
        <v>0</v>
      </c>
    </row>
    <row r="123" spans="1:16" ht="15.75">
      <c r="A123" s="78" t="s">
        <v>346</v>
      </c>
      <c r="B123" s="67"/>
      <c r="C123" s="67"/>
      <c r="D123" s="67"/>
      <c r="E123" s="11"/>
      <c r="F123" s="11"/>
      <c r="G123" s="11"/>
      <c r="H123" s="11"/>
      <c r="I123" s="11"/>
      <c r="J123" s="42"/>
      <c r="K123" s="42"/>
      <c r="L123" s="42"/>
      <c r="M123" s="30">
        <v>1046882</v>
      </c>
      <c r="N123" s="30">
        <v>0</v>
      </c>
      <c r="O123" s="30">
        <v>0</v>
      </c>
      <c r="P123" s="24">
        <f>O123/M123*100</f>
        <v>0</v>
      </c>
    </row>
    <row r="124" spans="1:16" ht="31.5">
      <c r="A124" s="77" t="s">
        <v>174</v>
      </c>
      <c r="B124" s="67" t="s">
        <v>37</v>
      </c>
      <c r="C124" s="67">
        <v>9</v>
      </c>
      <c r="D124" s="67">
        <v>94</v>
      </c>
      <c r="E124" s="11" t="s">
        <v>171</v>
      </c>
      <c r="F124" s="11" t="s">
        <v>16</v>
      </c>
      <c r="G124" s="11" t="s">
        <v>17</v>
      </c>
      <c r="H124" s="11" t="s">
        <v>246</v>
      </c>
      <c r="I124" s="11">
        <v>522</v>
      </c>
      <c r="J124" s="42" t="s">
        <v>58</v>
      </c>
      <c r="K124" s="42">
        <v>2.95</v>
      </c>
      <c r="L124" s="42">
        <v>2017</v>
      </c>
      <c r="M124" s="30">
        <f>M126+M127</f>
        <v>4351028</v>
      </c>
      <c r="N124" s="30">
        <f>N126+N127</f>
        <v>0</v>
      </c>
      <c r="O124" s="30">
        <f>O126+O127</f>
        <v>0</v>
      </c>
      <c r="P124" s="24">
        <f>O124/M124*100</f>
        <v>0</v>
      </c>
    </row>
    <row r="125" spans="1:16" ht="15.75">
      <c r="A125" s="78" t="s">
        <v>49</v>
      </c>
      <c r="B125" s="67"/>
      <c r="C125" s="67"/>
      <c r="D125" s="67"/>
      <c r="E125" s="11"/>
      <c r="F125" s="11"/>
      <c r="G125" s="11"/>
      <c r="H125" s="11"/>
      <c r="I125" s="11"/>
      <c r="J125" s="42"/>
      <c r="K125" s="42"/>
      <c r="L125" s="42"/>
      <c r="M125" s="30"/>
      <c r="N125" s="30"/>
      <c r="O125" s="30"/>
      <c r="P125" s="24"/>
    </row>
    <row r="126" spans="1:16" ht="18.75" customHeight="1">
      <c r="A126" s="78" t="s">
        <v>345</v>
      </c>
      <c r="B126" s="67"/>
      <c r="C126" s="67"/>
      <c r="D126" s="67"/>
      <c r="E126" s="11"/>
      <c r="F126" s="11"/>
      <c r="G126" s="11"/>
      <c r="H126" s="11"/>
      <c r="I126" s="11"/>
      <c r="J126" s="42"/>
      <c r="K126" s="42"/>
      <c r="L126" s="42"/>
      <c r="M126" s="30">
        <v>3045720</v>
      </c>
      <c r="N126" s="30">
        <v>0</v>
      </c>
      <c r="O126" s="30">
        <v>0</v>
      </c>
      <c r="P126" s="24">
        <f>O126/M126*100</f>
        <v>0</v>
      </c>
    </row>
    <row r="127" spans="1:16" ht="18" customHeight="1">
      <c r="A127" s="78" t="s">
        <v>346</v>
      </c>
      <c r="B127" s="67"/>
      <c r="C127" s="67"/>
      <c r="D127" s="67"/>
      <c r="E127" s="11"/>
      <c r="F127" s="11"/>
      <c r="G127" s="11"/>
      <c r="H127" s="11"/>
      <c r="I127" s="11"/>
      <c r="J127" s="42"/>
      <c r="K127" s="42"/>
      <c r="L127" s="42"/>
      <c r="M127" s="30">
        <v>1305308</v>
      </c>
      <c r="N127" s="30">
        <v>0</v>
      </c>
      <c r="O127" s="30">
        <v>0</v>
      </c>
      <c r="P127" s="24">
        <f>O127/M127*100</f>
        <v>0</v>
      </c>
    </row>
    <row r="128" spans="1:16" ht="34.5" customHeight="1">
      <c r="A128" s="77" t="s">
        <v>175</v>
      </c>
      <c r="B128" s="67" t="s">
        <v>37</v>
      </c>
      <c r="C128" s="67">
        <v>9</v>
      </c>
      <c r="D128" s="67">
        <v>94</v>
      </c>
      <c r="E128" s="11" t="s">
        <v>171</v>
      </c>
      <c r="F128" s="11" t="s">
        <v>16</v>
      </c>
      <c r="G128" s="11" t="s">
        <v>17</v>
      </c>
      <c r="H128" s="11" t="s">
        <v>246</v>
      </c>
      <c r="I128" s="11">
        <v>522</v>
      </c>
      <c r="J128" s="42" t="s">
        <v>58</v>
      </c>
      <c r="K128" s="42">
        <v>3.3</v>
      </c>
      <c r="L128" s="42">
        <v>2018</v>
      </c>
      <c r="M128" s="30">
        <f>M130+M131</f>
        <v>816079</v>
      </c>
      <c r="N128" s="30">
        <f>N130+N131</f>
        <v>0</v>
      </c>
      <c r="O128" s="30">
        <f>O130+O131</f>
        <v>0</v>
      </c>
      <c r="P128" s="24">
        <f>O128/M128*100</f>
        <v>0</v>
      </c>
    </row>
    <row r="129" spans="1:16" ht="15" customHeight="1">
      <c r="A129" s="78" t="s">
        <v>49</v>
      </c>
      <c r="B129" s="67"/>
      <c r="C129" s="67"/>
      <c r="D129" s="67"/>
      <c r="E129" s="11"/>
      <c r="F129" s="11"/>
      <c r="G129" s="11"/>
      <c r="H129" s="11"/>
      <c r="I129" s="11"/>
      <c r="J129" s="42"/>
      <c r="K129" s="42"/>
      <c r="L129" s="42"/>
      <c r="M129" s="30"/>
      <c r="N129" s="28"/>
      <c r="O129" s="28"/>
      <c r="P129" s="24"/>
    </row>
    <row r="130" spans="1:16" ht="15" customHeight="1">
      <c r="A130" s="78" t="s">
        <v>345</v>
      </c>
      <c r="B130" s="67"/>
      <c r="C130" s="67"/>
      <c r="D130" s="67"/>
      <c r="E130" s="11"/>
      <c r="F130" s="11"/>
      <c r="G130" s="11"/>
      <c r="H130" s="11"/>
      <c r="I130" s="11"/>
      <c r="J130" s="42"/>
      <c r="K130" s="42"/>
      <c r="L130" s="42"/>
      <c r="M130" s="30">
        <v>571255</v>
      </c>
      <c r="N130" s="30">
        <v>0</v>
      </c>
      <c r="O130" s="30">
        <v>0</v>
      </c>
      <c r="P130" s="24">
        <f>O130/M130*100</f>
        <v>0</v>
      </c>
    </row>
    <row r="131" spans="1:16" ht="16.5" customHeight="1">
      <c r="A131" s="78" t="s">
        <v>346</v>
      </c>
      <c r="B131" s="67"/>
      <c r="C131" s="67"/>
      <c r="D131" s="67"/>
      <c r="E131" s="11"/>
      <c r="F131" s="11"/>
      <c r="G131" s="11"/>
      <c r="H131" s="11"/>
      <c r="I131" s="11"/>
      <c r="J131" s="42"/>
      <c r="K131" s="42"/>
      <c r="L131" s="42"/>
      <c r="M131" s="30">
        <v>244824</v>
      </c>
      <c r="N131" s="30">
        <v>0</v>
      </c>
      <c r="O131" s="30">
        <v>0</v>
      </c>
      <c r="P131" s="24">
        <f>O131/M131*100</f>
        <v>0</v>
      </c>
    </row>
    <row r="132" spans="1:16" ht="51.75" customHeight="1">
      <c r="A132" s="14" t="s">
        <v>348</v>
      </c>
      <c r="B132" s="76">
        <v>17</v>
      </c>
      <c r="C132" s="76">
        <v>9</v>
      </c>
      <c r="D132" s="76">
        <v>97</v>
      </c>
      <c r="E132" s="11"/>
      <c r="F132" s="11"/>
      <c r="G132" s="11"/>
      <c r="H132" s="11"/>
      <c r="I132" s="11"/>
      <c r="J132" s="42"/>
      <c r="K132" s="42"/>
      <c r="L132" s="42"/>
      <c r="M132" s="28">
        <f aca="true" t="shared" si="16" ref="M132:O135">M135</f>
        <v>168730879</v>
      </c>
      <c r="N132" s="28">
        <f t="shared" si="16"/>
        <v>62704478.26</v>
      </c>
      <c r="O132" s="28">
        <f t="shared" si="16"/>
        <v>9720860.25</v>
      </c>
      <c r="P132" s="25">
        <f>O132/M132*100</f>
        <v>5.761162572975158</v>
      </c>
    </row>
    <row r="133" spans="1:16" ht="20.25" customHeight="1">
      <c r="A133" s="79" t="s">
        <v>350</v>
      </c>
      <c r="B133" s="76" t="s">
        <v>37</v>
      </c>
      <c r="C133" s="76">
        <v>9</v>
      </c>
      <c r="D133" s="76">
        <v>91</v>
      </c>
      <c r="E133" s="11"/>
      <c r="F133" s="11"/>
      <c r="G133" s="11"/>
      <c r="H133" s="11"/>
      <c r="I133" s="11"/>
      <c r="J133" s="42"/>
      <c r="K133" s="42"/>
      <c r="L133" s="42"/>
      <c r="M133" s="28">
        <f t="shared" si="16"/>
        <v>57940086.31</v>
      </c>
      <c r="N133" s="28">
        <f t="shared" si="16"/>
        <v>43096142.72</v>
      </c>
      <c r="O133" s="28">
        <f t="shared" si="16"/>
        <v>41354564.04</v>
      </c>
      <c r="P133" s="25">
        <f aca="true" t="shared" si="17" ref="P133:P142">O133/M133*100</f>
        <v>71.37470216861331</v>
      </c>
    </row>
    <row r="134" spans="1:16" ht="20.25" customHeight="1">
      <c r="A134" s="79" t="s">
        <v>351</v>
      </c>
      <c r="B134" s="76" t="s">
        <v>37</v>
      </c>
      <c r="C134" s="76">
        <v>9</v>
      </c>
      <c r="D134" s="76">
        <v>92</v>
      </c>
      <c r="E134" s="11"/>
      <c r="F134" s="11"/>
      <c r="G134" s="11"/>
      <c r="H134" s="11"/>
      <c r="I134" s="11"/>
      <c r="J134" s="42"/>
      <c r="K134" s="42"/>
      <c r="L134" s="42"/>
      <c r="M134" s="28">
        <f t="shared" si="16"/>
        <v>63307174.769999996</v>
      </c>
      <c r="N134" s="28">
        <f t="shared" si="16"/>
        <v>27578952.119999997</v>
      </c>
      <c r="O134" s="28">
        <f t="shared" si="16"/>
        <v>24973607.639999997</v>
      </c>
      <c r="P134" s="25">
        <f t="shared" si="17"/>
        <v>39.448305394658824</v>
      </c>
    </row>
    <row r="135" spans="1:16" ht="20.25" customHeight="1">
      <c r="A135" s="130" t="s">
        <v>25</v>
      </c>
      <c r="B135" s="76">
        <v>17</v>
      </c>
      <c r="C135" s="76">
        <v>9</v>
      </c>
      <c r="D135" s="76">
        <v>97</v>
      </c>
      <c r="E135" s="76">
        <v>819</v>
      </c>
      <c r="F135" s="80"/>
      <c r="G135" s="81"/>
      <c r="H135" s="11"/>
      <c r="I135" s="11"/>
      <c r="J135" s="12"/>
      <c r="K135" s="12"/>
      <c r="L135" s="42"/>
      <c r="M135" s="28">
        <f t="shared" si="16"/>
        <v>168730879</v>
      </c>
      <c r="N135" s="28">
        <f t="shared" si="16"/>
        <v>62704478.26</v>
      </c>
      <c r="O135" s="28">
        <f t="shared" si="16"/>
        <v>9720860.25</v>
      </c>
      <c r="P135" s="25">
        <f t="shared" si="17"/>
        <v>5.761162572975158</v>
      </c>
    </row>
    <row r="136" spans="1:16" ht="17.25" customHeight="1">
      <c r="A136" s="131"/>
      <c r="B136" s="76" t="s">
        <v>37</v>
      </c>
      <c r="C136" s="76">
        <v>9</v>
      </c>
      <c r="D136" s="76">
        <v>91</v>
      </c>
      <c r="E136" s="76" t="s">
        <v>26</v>
      </c>
      <c r="F136" s="80"/>
      <c r="G136" s="81"/>
      <c r="H136" s="11"/>
      <c r="I136" s="11"/>
      <c r="J136" s="12"/>
      <c r="K136" s="12"/>
      <c r="L136" s="42"/>
      <c r="M136" s="28">
        <f aca="true" t="shared" si="18" ref="M136:O137">M187</f>
        <v>57940086.31</v>
      </c>
      <c r="N136" s="28">
        <f t="shared" si="18"/>
        <v>43096142.72</v>
      </c>
      <c r="O136" s="28">
        <f t="shared" si="18"/>
        <v>41354564.04</v>
      </c>
      <c r="P136" s="25">
        <f t="shared" si="17"/>
        <v>71.37470216861331</v>
      </c>
    </row>
    <row r="137" spans="1:16" ht="18.75" customHeight="1">
      <c r="A137" s="132"/>
      <c r="B137" s="76" t="s">
        <v>37</v>
      </c>
      <c r="C137" s="76">
        <v>9</v>
      </c>
      <c r="D137" s="76">
        <v>92</v>
      </c>
      <c r="E137" s="76" t="s">
        <v>26</v>
      </c>
      <c r="F137" s="80"/>
      <c r="G137" s="81"/>
      <c r="H137" s="11"/>
      <c r="I137" s="11"/>
      <c r="J137" s="12"/>
      <c r="K137" s="12"/>
      <c r="L137" s="42"/>
      <c r="M137" s="28">
        <f t="shared" si="18"/>
        <v>63307174.769999996</v>
      </c>
      <c r="N137" s="28">
        <f t="shared" si="18"/>
        <v>27578952.119999997</v>
      </c>
      <c r="O137" s="28">
        <f t="shared" si="18"/>
        <v>24973607.639999997</v>
      </c>
      <c r="P137" s="25">
        <f t="shared" si="17"/>
        <v>39.448305394658824</v>
      </c>
    </row>
    <row r="138" spans="1:16" ht="17.25" customHeight="1">
      <c r="A138" s="82" t="s">
        <v>18</v>
      </c>
      <c r="B138" s="76">
        <v>17</v>
      </c>
      <c r="C138" s="76">
        <v>9</v>
      </c>
      <c r="D138" s="76">
        <v>97</v>
      </c>
      <c r="E138" s="76">
        <v>819</v>
      </c>
      <c r="F138" s="80" t="s">
        <v>16</v>
      </c>
      <c r="G138" s="81"/>
      <c r="H138" s="11"/>
      <c r="I138" s="11"/>
      <c r="J138" s="12"/>
      <c r="K138" s="12"/>
      <c r="L138" s="42"/>
      <c r="M138" s="28">
        <f>M139</f>
        <v>168730879</v>
      </c>
      <c r="N138" s="28">
        <f aca="true" t="shared" si="19" ref="N138:O140">N139</f>
        <v>62704478.26</v>
      </c>
      <c r="O138" s="28">
        <f t="shared" si="19"/>
        <v>9720860.25</v>
      </c>
      <c r="P138" s="25">
        <f t="shared" si="17"/>
        <v>5.761162572975158</v>
      </c>
    </row>
    <row r="139" spans="1:16" ht="18.75" customHeight="1">
      <c r="A139" s="82" t="s">
        <v>42</v>
      </c>
      <c r="B139" s="76">
        <v>17</v>
      </c>
      <c r="C139" s="76">
        <v>9</v>
      </c>
      <c r="D139" s="76">
        <v>97</v>
      </c>
      <c r="E139" s="76">
        <v>819</v>
      </c>
      <c r="F139" s="80" t="s">
        <v>16</v>
      </c>
      <c r="G139" s="80" t="s">
        <v>22</v>
      </c>
      <c r="H139" s="80"/>
      <c r="I139" s="80"/>
      <c r="J139" s="83"/>
      <c r="K139" s="83"/>
      <c r="L139" s="83"/>
      <c r="M139" s="28">
        <f>M140</f>
        <v>168730879</v>
      </c>
      <c r="N139" s="28">
        <f t="shared" si="19"/>
        <v>62704478.26</v>
      </c>
      <c r="O139" s="28">
        <f t="shared" si="19"/>
        <v>9720860.25</v>
      </c>
      <c r="P139" s="25">
        <f t="shared" si="17"/>
        <v>5.761162572975158</v>
      </c>
    </row>
    <row r="140" spans="1:16" ht="17.25" customHeight="1">
      <c r="A140" s="84" t="s">
        <v>87</v>
      </c>
      <c r="B140" s="76">
        <v>17</v>
      </c>
      <c r="C140" s="76">
        <v>9</v>
      </c>
      <c r="D140" s="76">
        <v>97</v>
      </c>
      <c r="E140" s="76">
        <v>819</v>
      </c>
      <c r="F140" s="80" t="s">
        <v>16</v>
      </c>
      <c r="G140" s="80" t="s">
        <v>22</v>
      </c>
      <c r="H140" s="80" t="s">
        <v>246</v>
      </c>
      <c r="I140" s="80"/>
      <c r="J140" s="83"/>
      <c r="K140" s="83"/>
      <c r="L140" s="83"/>
      <c r="M140" s="28">
        <f>M141</f>
        <v>168730879</v>
      </c>
      <c r="N140" s="28">
        <f t="shared" si="19"/>
        <v>62704478.26</v>
      </c>
      <c r="O140" s="28">
        <f t="shared" si="19"/>
        <v>9720860.25</v>
      </c>
      <c r="P140" s="25">
        <f t="shared" si="17"/>
        <v>5.761162572975158</v>
      </c>
    </row>
    <row r="141" spans="1:16" ht="16.5" customHeight="1">
      <c r="A141" s="84" t="s">
        <v>122</v>
      </c>
      <c r="B141" s="76">
        <v>17</v>
      </c>
      <c r="C141" s="76">
        <v>9</v>
      </c>
      <c r="D141" s="76">
        <v>97</v>
      </c>
      <c r="E141" s="76">
        <v>819</v>
      </c>
      <c r="F141" s="80" t="s">
        <v>16</v>
      </c>
      <c r="G141" s="80" t="s">
        <v>22</v>
      </c>
      <c r="H141" s="80" t="s">
        <v>246</v>
      </c>
      <c r="I141" s="80" t="s">
        <v>71</v>
      </c>
      <c r="J141" s="85"/>
      <c r="K141" s="86"/>
      <c r="L141" s="83"/>
      <c r="M141" s="28">
        <f>M142+M147+M152+M159+M164+M173+M182</f>
        <v>168730879</v>
      </c>
      <c r="N141" s="28">
        <f>N142+N147+N152+N159+N164+N173+N182</f>
        <v>62704478.26</v>
      </c>
      <c r="O141" s="28">
        <f>O142+O147+O152+O159+O164+O173+O182</f>
        <v>9720860.25</v>
      </c>
      <c r="P141" s="25">
        <f t="shared" si="17"/>
        <v>5.761162572975158</v>
      </c>
    </row>
    <row r="142" spans="1:16" ht="16.5" customHeight="1">
      <c r="A142" s="14" t="s">
        <v>88</v>
      </c>
      <c r="B142" s="87"/>
      <c r="C142" s="87"/>
      <c r="D142" s="87"/>
      <c r="E142" s="87"/>
      <c r="F142" s="81"/>
      <c r="G142" s="81"/>
      <c r="H142" s="88"/>
      <c r="I142" s="81"/>
      <c r="J142" s="83"/>
      <c r="K142" s="83"/>
      <c r="L142" s="83"/>
      <c r="M142" s="31">
        <f>M143</f>
        <v>36250899</v>
      </c>
      <c r="N142" s="31">
        <f>N143</f>
        <v>13950000</v>
      </c>
      <c r="O142" s="31">
        <f>O143</f>
        <v>0</v>
      </c>
      <c r="P142" s="25">
        <f t="shared" si="17"/>
        <v>0</v>
      </c>
    </row>
    <row r="143" spans="1:16" ht="51" customHeight="1">
      <c r="A143" s="89" t="s">
        <v>423</v>
      </c>
      <c r="B143" s="87">
        <v>17</v>
      </c>
      <c r="C143" s="87">
        <v>9</v>
      </c>
      <c r="D143" s="87">
        <v>97</v>
      </c>
      <c r="E143" s="87">
        <v>819</v>
      </c>
      <c r="F143" s="81" t="s">
        <v>16</v>
      </c>
      <c r="G143" s="81" t="s">
        <v>22</v>
      </c>
      <c r="H143" s="88" t="s">
        <v>246</v>
      </c>
      <c r="I143" s="81" t="s">
        <v>71</v>
      </c>
      <c r="J143" s="12" t="s">
        <v>58</v>
      </c>
      <c r="K143" s="12">
        <v>2.73</v>
      </c>
      <c r="L143" s="12">
        <v>2017</v>
      </c>
      <c r="M143" s="32">
        <f>M145+M146</f>
        <v>36250899</v>
      </c>
      <c r="N143" s="32">
        <f>N145+N146</f>
        <v>13950000</v>
      </c>
      <c r="O143" s="32">
        <f>O145+O146</f>
        <v>0</v>
      </c>
      <c r="P143" s="24">
        <f aca="true" t="shared" si="20" ref="P143:P148">O143/M143*100</f>
        <v>0</v>
      </c>
    </row>
    <row r="144" spans="1:16" ht="18.75" customHeight="1">
      <c r="A144" s="78" t="s">
        <v>49</v>
      </c>
      <c r="B144" s="87"/>
      <c r="C144" s="87"/>
      <c r="D144" s="87"/>
      <c r="E144" s="87"/>
      <c r="F144" s="81"/>
      <c r="G144" s="81"/>
      <c r="H144" s="88"/>
      <c r="I144" s="81"/>
      <c r="J144" s="12"/>
      <c r="K144" s="12"/>
      <c r="L144" s="12"/>
      <c r="M144" s="32"/>
      <c r="N144" s="32"/>
      <c r="O144" s="32"/>
      <c r="P144" s="24" t="e">
        <f t="shared" si="20"/>
        <v>#DIV/0!</v>
      </c>
    </row>
    <row r="145" spans="1:16" ht="17.25" customHeight="1">
      <c r="A145" s="78" t="s">
        <v>345</v>
      </c>
      <c r="B145" s="87"/>
      <c r="C145" s="87"/>
      <c r="D145" s="87"/>
      <c r="E145" s="87"/>
      <c r="F145" s="81"/>
      <c r="G145" s="81"/>
      <c r="H145" s="88"/>
      <c r="I145" s="81"/>
      <c r="J145" s="12"/>
      <c r="K145" s="12"/>
      <c r="L145" s="12"/>
      <c r="M145" s="32">
        <v>25375630</v>
      </c>
      <c r="N145" s="32">
        <v>9737100</v>
      </c>
      <c r="O145" s="32">
        <v>0</v>
      </c>
      <c r="P145" s="24">
        <f t="shared" si="20"/>
        <v>0</v>
      </c>
    </row>
    <row r="146" spans="1:16" ht="20.25" customHeight="1">
      <c r="A146" s="78" t="s">
        <v>346</v>
      </c>
      <c r="B146" s="87"/>
      <c r="C146" s="87"/>
      <c r="D146" s="87"/>
      <c r="E146" s="87"/>
      <c r="F146" s="81"/>
      <c r="G146" s="81"/>
      <c r="H146" s="88"/>
      <c r="I146" s="81"/>
      <c r="J146" s="12"/>
      <c r="K146" s="12"/>
      <c r="L146" s="12"/>
      <c r="M146" s="32">
        <f>8055799+2819470</f>
        <v>10875269</v>
      </c>
      <c r="N146" s="32">
        <v>4212900</v>
      </c>
      <c r="O146" s="32">
        <v>0</v>
      </c>
      <c r="P146" s="24">
        <f t="shared" si="20"/>
        <v>0</v>
      </c>
    </row>
    <row r="147" spans="1:16" ht="20.25" customHeight="1">
      <c r="A147" s="14" t="s">
        <v>64</v>
      </c>
      <c r="B147" s="87"/>
      <c r="C147" s="87"/>
      <c r="D147" s="87"/>
      <c r="E147" s="87"/>
      <c r="F147" s="81"/>
      <c r="G147" s="81"/>
      <c r="H147" s="88"/>
      <c r="I147" s="81"/>
      <c r="J147" s="12"/>
      <c r="K147" s="12"/>
      <c r="L147" s="12"/>
      <c r="M147" s="31">
        <f>M148</f>
        <v>12826522</v>
      </c>
      <c r="N147" s="31">
        <f>N148</f>
        <v>6508564.51</v>
      </c>
      <c r="O147" s="31">
        <f>O148</f>
        <v>5954282.25</v>
      </c>
      <c r="P147" s="25">
        <f t="shared" si="20"/>
        <v>46.421642983187496</v>
      </c>
    </row>
    <row r="148" spans="1:16" ht="49.5" customHeight="1">
      <c r="A148" s="77" t="s">
        <v>424</v>
      </c>
      <c r="B148" s="87">
        <v>17</v>
      </c>
      <c r="C148" s="87">
        <v>9</v>
      </c>
      <c r="D148" s="87">
        <v>97</v>
      </c>
      <c r="E148" s="87">
        <v>819</v>
      </c>
      <c r="F148" s="81" t="s">
        <v>16</v>
      </c>
      <c r="G148" s="81" t="s">
        <v>22</v>
      </c>
      <c r="H148" s="88" t="s">
        <v>246</v>
      </c>
      <c r="I148" s="81" t="s">
        <v>71</v>
      </c>
      <c r="J148" s="12" t="s">
        <v>58</v>
      </c>
      <c r="K148" s="12">
        <v>0.98</v>
      </c>
      <c r="L148" s="12">
        <v>2017</v>
      </c>
      <c r="M148" s="32">
        <f>M150+M151</f>
        <v>12826522</v>
      </c>
      <c r="N148" s="32">
        <f>N150+N151</f>
        <v>6508564.51</v>
      </c>
      <c r="O148" s="32">
        <f>O150+O151</f>
        <v>5954282.25</v>
      </c>
      <c r="P148" s="24">
        <f t="shared" si="20"/>
        <v>46.421642983187496</v>
      </c>
    </row>
    <row r="149" spans="1:16" ht="19.5" customHeight="1">
      <c r="A149" s="78" t="s">
        <v>49</v>
      </c>
      <c r="B149" s="87"/>
      <c r="C149" s="87"/>
      <c r="D149" s="87"/>
      <c r="E149" s="87"/>
      <c r="F149" s="81"/>
      <c r="G149" s="81"/>
      <c r="H149" s="88"/>
      <c r="I149" s="81"/>
      <c r="J149" s="12"/>
      <c r="K149" s="12"/>
      <c r="L149" s="12"/>
      <c r="M149" s="32"/>
      <c r="N149" s="32"/>
      <c r="O149" s="32"/>
      <c r="P149" s="24"/>
    </row>
    <row r="150" spans="1:16" ht="20.25" customHeight="1">
      <c r="A150" s="78" t="s">
        <v>345</v>
      </c>
      <c r="B150" s="87"/>
      <c r="C150" s="87"/>
      <c r="D150" s="87"/>
      <c r="E150" s="87"/>
      <c r="F150" s="81"/>
      <c r="G150" s="81"/>
      <c r="H150" s="88"/>
      <c r="I150" s="81"/>
      <c r="J150" s="12"/>
      <c r="K150" s="12"/>
      <c r="L150" s="12"/>
      <c r="M150" s="32">
        <v>8978570</v>
      </c>
      <c r="N150" s="32">
        <v>4555995.16</v>
      </c>
      <c r="O150" s="32">
        <v>4167997.57</v>
      </c>
      <c r="P150" s="24">
        <f>O150/M150*100</f>
        <v>46.42161914425125</v>
      </c>
    </row>
    <row r="151" spans="1:16" ht="18" customHeight="1">
      <c r="A151" s="78" t="s">
        <v>346</v>
      </c>
      <c r="B151" s="87"/>
      <c r="C151" s="87"/>
      <c r="D151" s="87"/>
      <c r="E151" s="87"/>
      <c r="F151" s="81"/>
      <c r="G151" s="81"/>
      <c r="H151" s="88"/>
      <c r="I151" s="81"/>
      <c r="J151" s="12"/>
      <c r="K151" s="12"/>
      <c r="L151" s="12"/>
      <c r="M151" s="32">
        <f>2850322+997630</f>
        <v>3847952</v>
      </c>
      <c r="N151" s="32">
        <v>1952569.35</v>
      </c>
      <c r="O151" s="32">
        <v>1786284.68</v>
      </c>
      <c r="P151" s="24">
        <f>O151/M151*100</f>
        <v>46.421698607467036</v>
      </c>
    </row>
    <row r="152" spans="1:16" ht="18" customHeight="1">
      <c r="A152" s="14" t="s">
        <v>86</v>
      </c>
      <c r="B152" s="87"/>
      <c r="C152" s="87"/>
      <c r="D152" s="87"/>
      <c r="E152" s="87"/>
      <c r="F152" s="81"/>
      <c r="G152" s="81"/>
      <c r="H152" s="88"/>
      <c r="I152" s="81"/>
      <c r="J152" s="12"/>
      <c r="K152" s="12"/>
      <c r="L152" s="12"/>
      <c r="M152" s="31">
        <f>M153</f>
        <v>57683843</v>
      </c>
      <c r="N152" s="31">
        <f>N153</f>
        <v>18921180.6</v>
      </c>
      <c r="O152" s="31">
        <f>O153</f>
        <v>0</v>
      </c>
      <c r="P152" s="25">
        <f>O152/M152*100</f>
        <v>0</v>
      </c>
    </row>
    <row r="153" spans="1:16" ht="48" customHeight="1">
      <c r="A153" s="77" t="s">
        <v>308</v>
      </c>
      <c r="B153" s="87">
        <v>17</v>
      </c>
      <c r="C153" s="87">
        <v>9</v>
      </c>
      <c r="D153" s="87">
        <v>97</v>
      </c>
      <c r="E153" s="87">
        <v>819</v>
      </c>
      <c r="F153" s="81" t="s">
        <v>16</v>
      </c>
      <c r="G153" s="81" t="s">
        <v>22</v>
      </c>
      <c r="H153" s="88" t="s">
        <v>246</v>
      </c>
      <c r="I153" s="81" t="s">
        <v>71</v>
      </c>
      <c r="J153" s="12" t="s">
        <v>58</v>
      </c>
      <c r="K153" s="12">
        <v>5.436</v>
      </c>
      <c r="L153" s="12">
        <v>2017</v>
      </c>
      <c r="M153" s="32">
        <f>M157+M158</f>
        <v>57683843</v>
      </c>
      <c r="N153" s="32">
        <f>N157+N158</f>
        <v>18921180.6</v>
      </c>
      <c r="O153" s="32">
        <f>O157+O158</f>
        <v>0</v>
      </c>
      <c r="P153" s="24">
        <f aca="true" t="shared" si="21" ref="P153:P186">O153/M153*100</f>
        <v>0</v>
      </c>
    </row>
    <row r="154" spans="1:16" ht="0.75" customHeight="1" hidden="1">
      <c r="A154" s="14" t="str">
        <f>'[1]стройка'!B125</f>
        <v>Климовский  район</v>
      </c>
      <c r="B154" s="87"/>
      <c r="C154" s="87"/>
      <c r="D154" s="87"/>
      <c r="E154" s="87"/>
      <c r="F154" s="81"/>
      <c r="G154" s="81"/>
      <c r="H154" s="88"/>
      <c r="I154" s="81"/>
      <c r="J154" s="12"/>
      <c r="K154" s="12"/>
      <c r="L154" s="12"/>
      <c r="M154" s="31">
        <f>M155</f>
        <v>0</v>
      </c>
      <c r="N154" s="32"/>
      <c r="O154" s="32"/>
      <c r="P154" s="25" t="e">
        <f t="shared" si="21"/>
        <v>#DIV/0!</v>
      </c>
    </row>
    <row r="155" spans="1:16" ht="73.5" customHeight="1" hidden="1">
      <c r="A155" s="77" t="str">
        <f>'[1]стройка'!B126</f>
        <v>Строительство автомобильной дороги Подъезд к агрогородку "Гетманобудский"   от автомобильной дороги "Климово-Чуровичи" - Гетманова Буда на км 3+000  в Климовском районе Брянской области  </v>
      </c>
      <c r="B155" s="87">
        <v>17</v>
      </c>
      <c r="C155" s="87">
        <v>9</v>
      </c>
      <c r="D155" s="87">
        <v>97</v>
      </c>
      <c r="E155" s="87">
        <v>819</v>
      </c>
      <c r="F155" s="81" t="s">
        <v>16</v>
      </c>
      <c r="G155" s="81" t="s">
        <v>22</v>
      </c>
      <c r="H155" s="88" t="s">
        <v>246</v>
      </c>
      <c r="I155" s="81" t="s">
        <v>71</v>
      </c>
      <c r="J155" s="12" t="s">
        <v>58</v>
      </c>
      <c r="K155" s="12">
        <v>13.745</v>
      </c>
      <c r="L155" s="12">
        <v>2017</v>
      </c>
      <c r="M155" s="32">
        <v>0</v>
      </c>
      <c r="N155" s="31"/>
      <c r="O155" s="31"/>
      <c r="P155" s="25" t="e">
        <f t="shared" si="21"/>
        <v>#DIV/0!</v>
      </c>
    </row>
    <row r="156" spans="1:16" ht="19.5" customHeight="1">
      <c r="A156" s="78" t="s">
        <v>49</v>
      </c>
      <c r="B156" s="87"/>
      <c r="C156" s="87"/>
      <c r="D156" s="87"/>
      <c r="E156" s="87"/>
      <c r="F156" s="81"/>
      <c r="G156" s="81"/>
      <c r="H156" s="88"/>
      <c r="I156" s="81"/>
      <c r="J156" s="12"/>
      <c r="K156" s="12"/>
      <c r="L156" s="12"/>
      <c r="M156" s="32"/>
      <c r="N156" s="32"/>
      <c r="O156" s="32"/>
      <c r="P156" s="25"/>
    </row>
    <row r="157" spans="1:16" ht="21" customHeight="1">
      <c r="A157" s="78" t="s">
        <v>345</v>
      </c>
      <c r="B157" s="87"/>
      <c r="C157" s="87"/>
      <c r="D157" s="87"/>
      <c r="E157" s="87"/>
      <c r="F157" s="81"/>
      <c r="G157" s="81"/>
      <c r="H157" s="88"/>
      <c r="I157" s="81"/>
      <c r="J157" s="12"/>
      <c r="K157" s="12"/>
      <c r="L157" s="12"/>
      <c r="M157" s="32">
        <v>44865205</v>
      </c>
      <c r="N157" s="32">
        <v>14701757</v>
      </c>
      <c r="O157" s="32">
        <v>0</v>
      </c>
      <c r="P157" s="25">
        <f t="shared" si="21"/>
        <v>0</v>
      </c>
    </row>
    <row r="158" spans="1:16" ht="19.5" customHeight="1">
      <c r="A158" s="78" t="s">
        <v>346</v>
      </c>
      <c r="B158" s="87"/>
      <c r="C158" s="87"/>
      <c r="D158" s="87"/>
      <c r="E158" s="87"/>
      <c r="F158" s="81"/>
      <c r="G158" s="81"/>
      <c r="H158" s="88"/>
      <c r="I158" s="81"/>
      <c r="J158" s="12"/>
      <c r="K158" s="12"/>
      <c r="L158" s="12"/>
      <c r="M158" s="32">
        <v>12818638</v>
      </c>
      <c r="N158" s="32">
        <v>4219423.6</v>
      </c>
      <c r="O158" s="32">
        <v>0</v>
      </c>
      <c r="P158" s="25">
        <f t="shared" si="21"/>
        <v>0</v>
      </c>
    </row>
    <row r="159" spans="1:16" ht="21" customHeight="1">
      <c r="A159" s="14" t="s">
        <v>113</v>
      </c>
      <c r="B159" s="87"/>
      <c r="C159" s="87"/>
      <c r="D159" s="87"/>
      <c r="E159" s="87"/>
      <c r="F159" s="81"/>
      <c r="G159" s="81"/>
      <c r="H159" s="88"/>
      <c r="I159" s="81"/>
      <c r="J159" s="12"/>
      <c r="K159" s="12"/>
      <c r="L159" s="12"/>
      <c r="M159" s="31">
        <f>M160</f>
        <v>3766578</v>
      </c>
      <c r="N159" s="31">
        <f>N160</f>
        <v>3766578</v>
      </c>
      <c r="O159" s="31">
        <f>O160</f>
        <v>3766578</v>
      </c>
      <c r="P159" s="25">
        <f t="shared" si="21"/>
        <v>100</v>
      </c>
    </row>
    <row r="160" spans="1:16" ht="48" customHeight="1">
      <c r="A160" s="77" t="s">
        <v>340</v>
      </c>
      <c r="B160" s="87">
        <v>17</v>
      </c>
      <c r="C160" s="87">
        <v>9</v>
      </c>
      <c r="D160" s="87">
        <v>97</v>
      </c>
      <c r="E160" s="87">
        <v>819</v>
      </c>
      <c r="F160" s="81" t="s">
        <v>16</v>
      </c>
      <c r="G160" s="81" t="s">
        <v>22</v>
      </c>
      <c r="H160" s="88" t="s">
        <v>246</v>
      </c>
      <c r="I160" s="81" t="s">
        <v>71</v>
      </c>
      <c r="J160" s="12" t="s">
        <v>58</v>
      </c>
      <c r="K160" s="12">
        <v>0.345</v>
      </c>
      <c r="L160" s="12">
        <v>2017</v>
      </c>
      <c r="M160" s="32">
        <f>M162+M163</f>
        <v>3766578</v>
      </c>
      <c r="N160" s="32">
        <f>N162+N163</f>
        <v>3766578</v>
      </c>
      <c r="O160" s="32">
        <f>O162+O163</f>
        <v>3766578</v>
      </c>
      <c r="P160" s="24">
        <f t="shared" si="21"/>
        <v>100</v>
      </c>
    </row>
    <row r="161" spans="1:16" ht="16.5" customHeight="1">
      <c r="A161" s="78" t="s">
        <v>49</v>
      </c>
      <c r="B161" s="87"/>
      <c r="C161" s="87"/>
      <c r="D161" s="87"/>
      <c r="E161" s="87"/>
      <c r="F161" s="81"/>
      <c r="G161" s="81"/>
      <c r="H161" s="88"/>
      <c r="I161" s="81"/>
      <c r="J161" s="12"/>
      <c r="K161" s="12"/>
      <c r="L161" s="12"/>
      <c r="M161" s="32"/>
      <c r="N161" s="32"/>
      <c r="O161" s="32"/>
      <c r="P161" s="24"/>
    </row>
    <row r="162" spans="1:16" ht="19.5" customHeight="1">
      <c r="A162" s="78" t="s">
        <v>345</v>
      </c>
      <c r="B162" s="87"/>
      <c r="C162" s="87"/>
      <c r="D162" s="87"/>
      <c r="E162" s="87"/>
      <c r="F162" s="81"/>
      <c r="G162" s="81"/>
      <c r="H162" s="88"/>
      <c r="I162" s="81"/>
      <c r="J162" s="12"/>
      <c r="K162" s="12"/>
      <c r="L162" s="12"/>
      <c r="M162" s="32">
        <v>2636600</v>
      </c>
      <c r="N162" s="32">
        <v>2636600</v>
      </c>
      <c r="O162" s="32">
        <v>2636600</v>
      </c>
      <c r="P162" s="24">
        <f t="shared" si="21"/>
        <v>100</v>
      </c>
    </row>
    <row r="163" spans="1:16" ht="19.5" customHeight="1">
      <c r="A163" s="78" t="s">
        <v>346</v>
      </c>
      <c r="B163" s="87"/>
      <c r="C163" s="87"/>
      <c r="D163" s="87"/>
      <c r="E163" s="87"/>
      <c r="F163" s="81"/>
      <c r="G163" s="81"/>
      <c r="H163" s="88"/>
      <c r="I163" s="81"/>
      <c r="J163" s="12"/>
      <c r="K163" s="12"/>
      <c r="L163" s="12"/>
      <c r="M163" s="32">
        <f>837078+292900</f>
        <v>1129978</v>
      </c>
      <c r="N163" s="32">
        <v>1129978</v>
      </c>
      <c r="O163" s="32">
        <v>1129978</v>
      </c>
      <c r="P163" s="24">
        <f t="shared" si="21"/>
        <v>100</v>
      </c>
    </row>
    <row r="164" spans="1:16" ht="19.5" customHeight="1">
      <c r="A164" s="14" t="s">
        <v>81</v>
      </c>
      <c r="B164" s="87"/>
      <c r="C164" s="87"/>
      <c r="D164" s="87"/>
      <c r="E164" s="87"/>
      <c r="F164" s="81"/>
      <c r="G164" s="81"/>
      <c r="H164" s="88"/>
      <c r="I164" s="81"/>
      <c r="J164" s="12"/>
      <c r="K164" s="12"/>
      <c r="L164" s="12"/>
      <c r="M164" s="31">
        <f>M165+M169</f>
        <v>30265605</v>
      </c>
      <c r="N164" s="31">
        <f>N165+N169</f>
        <v>6195507.87</v>
      </c>
      <c r="O164" s="31">
        <f>O165+O169</f>
        <v>0</v>
      </c>
      <c r="P164" s="25">
        <f t="shared" si="21"/>
        <v>0</v>
      </c>
    </row>
    <row r="165" spans="1:16" ht="36" customHeight="1">
      <c r="A165" s="77" t="s">
        <v>249</v>
      </c>
      <c r="B165" s="87">
        <v>17</v>
      </c>
      <c r="C165" s="87">
        <v>9</v>
      </c>
      <c r="D165" s="87">
        <v>97</v>
      </c>
      <c r="E165" s="87">
        <v>819</v>
      </c>
      <c r="F165" s="81" t="s">
        <v>16</v>
      </c>
      <c r="G165" s="81" t="s">
        <v>22</v>
      </c>
      <c r="H165" s="88" t="s">
        <v>246</v>
      </c>
      <c r="I165" s="81" t="s">
        <v>71</v>
      </c>
      <c r="J165" s="12" t="s">
        <v>58</v>
      </c>
      <c r="K165" s="12">
        <v>1.285</v>
      </c>
      <c r="L165" s="12">
        <v>2017</v>
      </c>
      <c r="M165" s="32">
        <f>M167+M168</f>
        <v>11652046</v>
      </c>
      <c r="N165" s="32">
        <f>N167+N168</f>
        <v>6195507.87</v>
      </c>
      <c r="O165" s="32">
        <f>O167+O168</f>
        <v>0</v>
      </c>
      <c r="P165" s="24">
        <f t="shared" si="21"/>
        <v>0</v>
      </c>
    </row>
    <row r="166" spans="1:16" ht="14.25" customHeight="1">
      <c r="A166" s="78" t="s">
        <v>49</v>
      </c>
      <c r="B166" s="87"/>
      <c r="C166" s="87"/>
      <c r="D166" s="87"/>
      <c r="E166" s="87"/>
      <c r="F166" s="81"/>
      <c r="G166" s="81"/>
      <c r="H166" s="88"/>
      <c r="I166" s="81"/>
      <c r="J166" s="12"/>
      <c r="K166" s="12"/>
      <c r="L166" s="12"/>
      <c r="M166" s="32"/>
      <c r="N166" s="32"/>
      <c r="O166" s="32"/>
      <c r="P166" s="24"/>
    </row>
    <row r="167" spans="1:16" ht="16.5" customHeight="1">
      <c r="A167" s="78" t="s">
        <v>345</v>
      </c>
      <c r="B167" s="87"/>
      <c r="C167" s="87"/>
      <c r="D167" s="87"/>
      <c r="E167" s="87"/>
      <c r="F167" s="81"/>
      <c r="G167" s="81"/>
      <c r="H167" s="88"/>
      <c r="I167" s="81"/>
      <c r="J167" s="12"/>
      <c r="K167" s="12"/>
      <c r="L167" s="12"/>
      <c r="M167" s="32">
        <v>8156430</v>
      </c>
      <c r="N167" s="32">
        <v>4336855.51</v>
      </c>
      <c r="O167" s="32">
        <v>0</v>
      </c>
      <c r="P167" s="24">
        <f t="shared" si="21"/>
        <v>0</v>
      </c>
    </row>
    <row r="168" spans="1:16" ht="18" customHeight="1">
      <c r="A168" s="78" t="s">
        <v>346</v>
      </c>
      <c r="B168" s="87"/>
      <c r="C168" s="87"/>
      <c r="D168" s="87"/>
      <c r="E168" s="87"/>
      <c r="F168" s="81"/>
      <c r="G168" s="81"/>
      <c r="H168" s="88"/>
      <c r="I168" s="81"/>
      <c r="J168" s="12"/>
      <c r="K168" s="12"/>
      <c r="L168" s="12"/>
      <c r="M168" s="32">
        <f>2589346+906270</f>
        <v>3495616</v>
      </c>
      <c r="N168" s="32">
        <v>1858652.36</v>
      </c>
      <c r="O168" s="32">
        <v>0</v>
      </c>
      <c r="P168" s="24">
        <f t="shared" si="21"/>
        <v>0</v>
      </c>
    </row>
    <row r="169" spans="1:16" ht="33" customHeight="1">
      <c r="A169" s="77" t="s">
        <v>250</v>
      </c>
      <c r="B169" s="87">
        <v>17</v>
      </c>
      <c r="C169" s="87">
        <v>9</v>
      </c>
      <c r="D169" s="87">
        <v>97</v>
      </c>
      <c r="E169" s="87">
        <v>819</v>
      </c>
      <c r="F169" s="81" t="s">
        <v>16</v>
      </c>
      <c r="G169" s="81" t="s">
        <v>22</v>
      </c>
      <c r="H169" s="88" t="s">
        <v>246</v>
      </c>
      <c r="I169" s="81" t="s">
        <v>71</v>
      </c>
      <c r="J169" s="12" t="s">
        <v>58</v>
      </c>
      <c r="K169" s="12">
        <v>2.189</v>
      </c>
      <c r="L169" s="12">
        <v>2017</v>
      </c>
      <c r="M169" s="32">
        <f>M171+M172</f>
        <v>18613559</v>
      </c>
      <c r="N169" s="32">
        <f>N171+N172</f>
        <v>0</v>
      </c>
      <c r="O169" s="32">
        <f>O171+O172</f>
        <v>0</v>
      </c>
      <c r="P169" s="24">
        <f t="shared" si="21"/>
        <v>0</v>
      </c>
    </row>
    <row r="170" spans="1:16" ht="16.5" customHeight="1">
      <c r="A170" s="78" t="s">
        <v>49</v>
      </c>
      <c r="B170" s="87"/>
      <c r="C170" s="87"/>
      <c r="D170" s="87"/>
      <c r="E170" s="87"/>
      <c r="F170" s="81"/>
      <c r="G170" s="81"/>
      <c r="H170" s="88"/>
      <c r="I170" s="81"/>
      <c r="J170" s="12"/>
      <c r="K170" s="12"/>
      <c r="L170" s="12"/>
      <c r="M170" s="32"/>
      <c r="N170" s="32"/>
      <c r="O170" s="32"/>
      <c r="P170" s="24"/>
    </row>
    <row r="171" spans="1:16" ht="17.25" customHeight="1">
      <c r="A171" s="78" t="s">
        <v>345</v>
      </c>
      <c r="B171" s="87"/>
      <c r="C171" s="87"/>
      <c r="D171" s="87"/>
      <c r="E171" s="87"/>
      <c r="F171" s="81"/>
      <c r="G171" s="81"/>
      <c r="H171" s="88"/>
      <c r="I171" s="81"/>
      <c r="J171" s="12"/>
      <c r="K171" s="12"/>
      <c r="L171" s="12"/>
      <c r="M171" s="32">
        <v>13029490</v>
      </c>
      <c r="N171" s="32">
        <v>0</v>
      </c>
      <c r="O171" s="32">
        <v>0</v>
      </c>
      <c r="P171" s="24">
        <f t="shared" si="21"/>
        <v>0</v>
      </c>
    </row>
    <row r="172" spans="1:16" ht="18" customHeight="1">
      <c r="A172" s="78" t="s">
        <v>346</v>
      </c>
      <c r="B172" s="87"/>
      <c r="C172" s="87"/>
      <c r="D172" s="87"/>
      <c r="E172" s="87"/>
      <c r="F172" s="81"/>
      <c r="G172" s="81"/>
      <c r="H172" s="88"/>
      <c r="I172" s="81"/>
      <c r="J172" s="12"/>
      <c r="K172" s="12"/>
      <c r="L172" s="12"/>
      <c r="M172" s="32">
        <f>4136359+1447710</f>
        <v>5584069</v>
      </c>
      <c r="N172" s="32">
        <v>0</v>
      </c>
      <c r="O172" s="32">
        <v>0</v>
      </c>
      <c r="P172" s="24">
        <f t="shared" si="21"/>
        <v>0</v>
      </c>
    </row>
    <row r="173" spans="1:16" ht="19.5" customHeight="1">
      <c r="A173" s="14" t="s">
        <v>57</v>
      </c>
      <c r="B173" s="87"/>
      <c r="C173" s="87"/>
      <c r="D173" s="87"/>
      <c r="E173" s="87"/>
      <c r="F173" s="81"/>
      <c r="G173" s="81"/>
      <c r="H173" s="88"/>
      <c r="I173" s="81"/>
      <c r="J173" s="12"/>
      <c r="K173" s="12"/>
      <c r="L173" s="12"/>
      <c r="M173" s="31">
        <f>M174+M178</f>
        <v>11143852</v>
      </c>
      <c r="N173" s="31">
        <f>N174+N178</f>
        <v>0</v>
      </c>
      <c r="O173" s="31">
        <f>O174+O178</f>
        <v>0</v>
      </c>
      <c r="P173" s="25">
        <f t="shared" si="21"/>
        <v>0</v>
      </c>
    </row>
    <row r="174" spans="1:16" ht="48" customHeight="1">
      <c r="A174" s="77" t="s">
        <v>425</v>
      </c>
      <c r="B174" s="87">
        <v>17</v>
      </c>
      <c r="C174" s="87">
        <v>9</v>
      </c>
      <c r="D174" s="87">
        <v>97</v>
      </c>
      <c r="E174" s="87">
        <v>819</v>
      </c>
      <c r="F174" s="81" t="s">
        <v>16</v>
      </c>
      <c r="G174" s="81" t="s">
        <v>22</v>
      </c>
      <c r="H174" s="88" t="s">
        <v>246</v>
      </c>
      <c r="I174" s="81" t="s">
        <v>71</v>
      </c>
      <c r="J174" s="12" t="s">
        <v>58</v>
      </c>
      <c r="K174" s="12">
        <v>0.625</v>
      </c>
      <c r="L174" s="12">
        <v>2017</v>
      </c>
      <c r="M174" s="32">
        <f>M176+M177</f>
        <v>6194416</v>
      </c>
      <c r="N174" s="32">
        <f>N176+N177</f>
        <v>0</v>
      </c>
      <c r="O174" s="32">
        <f>O176+O177</f>
        <v>0</v>
      </c>
      <c r="P174" s="25">
        <f t="shared" si="21"/>
        <v>0</v>
      </c>
    </row>
    <row r="175" spans="1:16" ht="15" customHeight="1">
      <c r="A175" s="78" t="s">
        <v>49</v>
      </c>
      <c r="B175" s="87"/>
      <c r="C175" s="87"/>
      <c r="D175" s="87"/>
      <c r="E175" s="87"/>
      <c r="F175" s="81"/>
      <c r="G175" s="81"/>
      <c r="H175" s="88"/>
      <c r="I175" s="81"/>
      <c r="J175" s="12"/>
      <c r="K175" s="12"/>
      <c r="L175" s="12"/>
      <c r="M175" s="32"/>
      <c r="N175" s="32"/>
      <c r="O175" s="32"/>
      <c r="P175" s="25"/>
    </row>
    <row r="176" spans="1:16" ht="16.5" customHeight="1">
      <c r="A176" s="78" t="s">
        <v>345</v>
      </c>
      <c r="B176" s="87"/>
      <c r="C176" s="87"/>
      <c r="D176" s="87"/>
      <c r="E176" s="87"/>
      <c r="F176" s="81"/>
      <c r="G176" s="81"/>
      <c r="H176" s="88"/>
      <c r="I176" s="81"/>
      <c r="J176" s="12"/>
      <c r="K176" s="12"/>
      <c r="L176" s="12"/>
      <c r="M176" s="32">
        <v>3617760</v>
      </c>
      <c r="N176" s="32">
        <v>0</v>
      </c>
      <c r="O176" s="32">
        <v>0</v>
      </c>
      <c r="P176" s="24">
        <f t="shared" si="21"/>
        <v>0</v>
      </c>
    </row>
    <row r="177" spans="1:16" ht="19.5" customHeight="1">
      <c r="A177" s="78" t="s">
        <v>346</v>
      </c>
      <c r="B177" s="87"/>
      <c r="C177" s="87"/>
      <c r="D177" s="87"/>
      <c r="E177" s="87"/>
      <c r="F177" s="81"/>
      <c r="G177" s="81"/>
      <c r="H177" s="88"/>
      <c r="I177" s="81"/>
      <c r="J177" s="12"/>
      <c r="K177" s="12"/>
      <c r="L177" s="12"/>
      <c r="M177" s="32">
        <f>1376517+1200139</f>
        <v>2576656</v>
      </c>
      <c r="N177" s="32">
        <v>0</v>
      </c>
      <c r="O177" s="32">
        <v>0</v>
      </c>
      <c r="P177" s="24">
        <f t="shared" si="21"/>
        <v>0</v>
      </c>
    </row>
    <row r="178" spans="1:16" ht="36" customHeight="1">
      <c r="A178" s="77" t="s">
        <v>309</v>
      </c>
      <c r="B178" s="87">
        <v>17</v>
      </c>
      <c r="C178" s="87">
        <v>9</v>
      </c>
      <c r="D178" s="87">
        <v>97</v>
      </c>
      <c r="E178" s="87">
        <v>819</v>
      </c>
      <c r="F178" s="81" t="s">
        <v>16</v>
      </c>
      <c r="G178" s="81" t="s">
        <v>22</v>
      </c>
      <c r="H178" s="88" t="s">
        <v>246</v>
      </c>
      <c r="I178" s="81" t="s">
        <v>71</v>
      </c>
      <c r="J178" s="12" t="s">
        <v>58</v>
      </c>
      <c r="K178" s="12">
        <v>0.365</v>
      </c>
      <c r="L178" s="12">
        <v>2017</v>
      </c>
      <c r="M178" s="32">
        <f>M180+M181</f>
        <v>4949436</v>
      </c>
      <c r="N178" s="32">
        <f>N180+N181</f>
        <v>0</v>
      </c>
      <c r="O178" s="32">
        <f>O180+O181</f>
        <v>0</v>
      </c>
      <c r="P178" s="25">
        <f t="shared" si="21"/>
        <v>0</v>
      </c>
    </row>
    <row r="179" spans="1:16" ht="21.75" customHeight="1">
      <c r="A179" s="78" t="s">
        <v>49</v>
      </c>
      <c r="B179" s="87"/>
      <c r="C179" s="87"/>
      <c r="D179" s="87"/>
      <c r="E179" s="87"/>
      <c r="F179" s="81"/>
      <c r="G179" s="81"/>
      <c r="H179" s="88"/>
      <c r="I179" s="81"/>
      <c r="J179" s="12"/>
      <c r="K179" s="12"/>
      <c r="L179" s="12"/>
      <c r="M179" s="32"/>
      <c r="N179" s="68"/>
      <c r="O179" s="68"/>
      <c r="P179" s="25"/>
    </row>
    <row r="180" spans="1:16" ht="20.25" customHeight="1">
      <c r="A180" s="78" t="s">
        <v>345</v>
      </c>
      <c r="B180" s="87"/>
      <c r="C180" s="87"/>
      <c r="D180" s="87"/>
      <c r="E180" s="87"/>
      <c r="F180" s="81"/>
      <c r="G180" s="81"/>
      <c r="H180" s="88"/>
      <c r="I180" s="81"/>
      <c r="J180" s="12"/>
      <c r="K180" s="12"/>
      <c r="L180" s="12"/>
      <c r="M180" s="32">
        <v>3464610</v>
      </c>
      <c r="N180" s="30">
        <v>0</v>
      </c>
      <c r="O180" s="30">
        <v>0</v>
      </c>
      <c r="P180" s="24">
        <f t="shared" si="21"/>
        <v>0</v>
      </c>
    </row>
    <row r="181" spans="1:16" ht="19.5" customHeight="1">
      <c r="A181" s="78" t="s">
        <v>346</v>
      </c>
      <c r="B181" s="87"/>
      <c r="C181" s="87"/>
      <c r="D181" s="87"/>
      <c r="E181" s="87"/>
      <c r="F181" s="81"/>
      <c r="G181" s="81"/>
      <c r="H181" s="88"/>
      <c r="I181" s="81"/>
      <c r="J181" s="12"/>
      <c r="K181" s="12"/>
      <c r="L181" s="12"/>
      <c r="M181" s="32">
        <f>1099835+384991</f>
        <v>1484826</v>
      </c>
      <c r="N181" s="30">
        <v>0</v>
      </c>
      <c r="O181" s="30">
        <v>0</v>
      </c>
      <c r="P181" s="24">
        <f t="shared" si="21"/>
        <v>0</v>
      </c>
    </row>
    <row r="182" spans="1:16" ht="24" customHeight="1">
      <c r="A182" s="14" t="s">
        <v>66</v>
      </c>
      <c r="B182" s="87"/>
      <c r="C182" s="87"/>
      <c r="D182" s="87"/>
      <c r="E182" s="87"/>
      <c r="F182" s="81"/>
      <c r="G182" s="81"/>
      <c r="H182" s="88"/>
      <c r="I182" s="81"/>
      <c r="J182" s="12"/>
      <c r="K182" s="12"/>
      <c r="L182" s="12"/>
      <c r="M182" s="31">
        <f>M183</f>
        <v>16793580</v>
      </c>
      <c r="N182" s="31">
        <f>N183</f>
        <v>13362647.280000001</v>
      </c>
      <c r="O182" s="31">
        <f>O183</f>
        <v>0</v>
      </c>
      <c r="P182" s="25">
        <f t="shared" si="21"/>
        <v>0</v>
      </c>
    </row>
    <row r="183" spans="1:16" ht="36" customHeight="1">
      <c r="A183" s="77" t="s">
        <v>426</v>
      </c>
      <c r="B183" s="87">
        <v>17</v>
      </c>
      <c r="C183" s="87">
        <v>9</v>
      </c>
      <c r="D183" s="87">
        <v>97</v>
      </c>
      <c r="E183" s="87">
        <v>819</v>
      </c>
      <c r="F183" s="81" t="s">
        <v>16</v>
      </c>
      <c r="G183" s="81" t="s">
        <v>22</v>
      </c>
      <c r="H183" s="88" t="s">
        <v>246</v>
      </c>
      <c r="I183" s="81" t="s">
        <v>71</v>
      </c>
      <c r="J183" s="12" t="s">
        <v>58</v>
      </c>
      <c r="K183" s="12">
        <v>1.379</v>
      </c>
      <c r="L183" s="12">
        <v>2017</v>
      </c>
      <c r="M183" s="32">
        <f>M185+M186</f>
        <v>16793580</v>
      </c>
      <c r="N183" s="32">
        <f>N185+N186</f>
        <v>13362647.280000001</v>
      </c>
      <c r="O183" s="32">
        <f>O185+O186</f>
        <v>0</v>
      </c>
      <c r="P183" s="24">
        <f t="shared" si="21"/>
        <v>0</v>
      </c>
    </row>
    <row r="184" spans="1:16" ht="15" customHeight="1">
      <c r="A184" s="78" t="s">
        <v>49</v>
      </c>
      <c r="B184" s="87"/>
      <c r="C184" s="87"/>
      <c r="D184" s="87"/>
      <c r="E184" s="87"/>
      <c r="F184" s="81"/>
      <c r="G184" s="81"/>
      <c r="H184" s="88"/>
      <c r="I184" s="81"/>
      <c r="J184" s="12"/>
      <c r="K184" s="12"/>
      <c r="L184" s="12"/>
      <c r="M184" s="32"/>
      <c r="N184" s="68"/>
      <c r="O184" s="68"/>
      <c r="P184" s="24"/>
    </row>
    <row r="185" spans="1:16" ht="16.5" customHeight="1">
      <c r="A185" s="78" t="s">
        <v>345</v>
      </c>
      <c r="B185" s="87"/>
      <c r="C185" s="87"/>
      <c r="D185" s="87"/>
      <c r="E185" s="87"/>
      <c r="F185" s="81"/>
      <c r="G185" s="81"/>
      <c r="H185" s="88"/>
      <c r="I185" s="81"/>
      <c r="J185" s="12"/>
      <c r="K185" s="12"/>
      <c r="L185" s="12"/>
      <c r="M185" s="32">
        <v>11755510</v>
      </c>
      <c r="N185" s="30">
        <v>9327127.8</v>
      </c>
      <c r="O185" s="30">
        <v>0</v>
      </c>
      <c r="P185" s="24">
        <f t="shared" si="21"/>
        <v>0</v>
      </c>
    </row>
    <row r="186" spans="1:16" ht="16.5" customHeight="1">
      <c r="A186" s="78" t="s">
        <v>346</v>
      </c>
      <c r="B186" s="87"/>
      <c r="C186" s="87"/>
      <c r="D186" s="87"/>
      <c r="E186" s="87"/>
      <c r="F186" s="81"/>
      <c r="G186" s="81"/>
      <c r="H186" s="88"/>
      <c r="I186" s="81"/>
      <c r="J186" s="12"/>
      <c r="K186" s="12"/>
      <c r="L186" s="12"/>
      <c r="M186" s="32">
        <f>4419380+618690</f>
        <v>5038070</v>
      </c>
      <c r="N186" s="30">
        <v>4035519.48</v>
      </c>
      <c r="O186" s="30">
        <v>0</v>
      </c>
      <c r="P186" s="24">
        <f t="shared" si="21"/>
        <v>0</v>
      </c>
    </row>
    <row r="187" spans="1:16" ht="18" customHeight="1">
      <c r="A187" s="125" t="s">
        <v>23</v>
      </c>
      <c r="B187" s="76" t="s">
        <v>37</v>
      </c>
      <c r="C187" s="76">
        <v>9</v>
      </c>
      <c r="D187" s="76">
        <v>91</v>
      </c>
      <c r="E187" s="76" t="s">
        <v>26</v>
      </c>
      <c r="F187" s="80" t="s">
        <v>17</v>
      </c>
      <c r="G187" s="81"/>
      <c r="H187" s="88"/>
      <c r="I187" s="81"/>
      <c r="J187" s="12"/>
      <c r="K187" s="12"/>
      <c r="L187" s="12"/>
      <c r="M187" s="31">
        <f>M189</f>
        <v>57940086.31</v>
      </c>
      <c r="N187" s="31">
        <f aca="true" t="shared" si="22" ref="M187:O188">N189</f>
        <v>43096142.72</v>
      </c>
      <c r="O187" s="31">
        <f t="shared" si="22"/>
        <v>41354564.04</v>
      </c>
      <c r="P187" s="25">
        <f>O187/M187*100</f>
        <v>71.37470216861331</v>
      </c>
    </row>
    <row r="188" spans="1:16" ht="16.5" customHeight="1">
      <c r="A188" s="127"/>
      <c r="B188" s="40" t="s">
        <v>37</v>
      </c>
      <c r="C188" s="40">
        <v>9</v>
      </c>
      <c r="D188" s="40">
        <v>92</v>
      </c>
      <c r="E188" s="40" t="s">
        <v>26</v>
      </c>
      <c r="F188" s="40" t="s">
        <v>17</v>
      </c>
      <c r="G188" s="40" t="s">
        <v>0</v>
      </c>
      <c r="H188" s="11"/>
      <c r="I188" s="11"/>
      <c r="J188" s="57"/>
      <c r="K188" s="12"/>
      <c r="L188" s="42"/>
      <c r="M188" s="28">
        <f t="shared" si="22"/>
        <v>63307174.769999996</v>
      </c>
      <c r="N188" s="28">
        <f t="shared" si="22"/>
        <v>27578952.119999997</v>
      </c>
      <c r="O188" s="28">
        <f t="shared" si="22"/>
        <v>24973607.639999997</v>
      </c>
      <c r="P188" s="25">
        <f aca="true" t="shared" si="23" ref="P188:P205">O188/M188*100</f>
        <v>39.448305394658824</v>
      </c>
    </row>
    <row r="189" spans="1:16" ht="18.75" customHeight="1">
      <c r="A189" s="125" t="s">
        <v>24</v>
      </c>
      <c r="B189" s="40" t="s">
        <v>37</v>
      </c>
      <c r="C189" s="40">
        <v>9</v>
      </c>
      <c r="D189" s="40">
        <v>91</v>
      </c>
      <c r="E189" s="40" t="s">
        <v>26</v>
      </c>
      <c r="F189" s="40" t="s">
        <v>17</v>
      </c>
      <c r="G189" s="40" t="s">
        <v>15</v>
      </c>
      <c r="H189" s="11"/>
      <c r="I189" s="11"/>
      <c r="J189" s="57"/>
      <c r="K189" s="12"/>
      <c r="L189" s="42"/>
      <c r="M189" s="28">
        <f>M191+M192</f>
        <v>57940086.31</v>
      </c>
      <c r="N189" s="28">
        <f>N191+N192</f>
        <v>43096142.72</v>
      </c>
      <c r="O189" s="28">
        <f>O191+O192</f>
        <v>41354564.04</v>
      </c>
      <c r="P189" s="25">
        <f t="shared" si="23"/>
        <v>71.37470216861331</v>
      </c>
    </row>
    <row r="190" spans="1:16" ht="18" customHeight="1">
      <c r="A190" s="127"/>
      <c r="B190" s="40" t="s">
        <v>37</v>
      </c>
      <c r="C190" s="40">
        <v>9</v>
      </c>
      <c r="D190" s="40">
        <v>92</v>
      </c>
      <c r="E190" s="40" t="s">
        <v>26</v>
      </c>
      <c r="F190" s="40" t="s">
        <v>17</v>
      </c>
      <c r="G190" s="40" t="s">
        <v>15</v>
      </c>
      <c r="H190" s="11"/>
      <c r="I190" s="11"/>
      <c r="J190" s="57"/>
      <c r="K190" s="12"/>
      <c r="L190" s="42"/>
      <c r="M190" s="28">
        <f>M193+M194</f>
        <v>63307174.769999996</v>
      </c>
      <c r="N190" s="28">
        <f>N193+N194</f>
        <v>27578952.119999997</v>
      </c>
      <c r="O190" s="28">
        <f>O193+O194</f>
        <v>24973607.639999997</v>
      </c>
      <c r="P190" s="25">
        <f t="shared" si="23"/>
        <v>39.448305394658824</v>
      </c>
    </row>
    <row r="191" spans="1:16" ht="18" customHeight="1">
      <c r="A191" s="125" t="s">
        <v>74</v>
      </c>
      <c r="B191" s="40" t="s">
        <v>37</v>
      </c>
      <c r="C191" s="40">
        <v>9</v>
      </c>
      <c r="D191" s="40">
        <v>91</v>
      </c>
      <c r="E191" s="40" t="s">
        <v>26</v>
      </c>
      <c r="F191" s="40" t="s">
        <v>17</v>
      </c>
      <c r="G191" s="40" t="s">
        <v>15</v>
      </c>
      <c r="H191" s="40" t="s">
        <v>246</v>
      </c>
      <c r="I191" s="40" t="s">
        <v>71</v>
      </c>
      <c r="J191" s="57"/>
      <c r="K191" s="12"/>
      <c r="L191" s="42"/>
      <c r="M191" s="28">
        <f>M195</f>
        <v>26337285.6</v>
      </c>
      <c r="N191" s="28">
        <f>N195</f>
        <v>25128601.720000003</v>
      </c>
      <c r="O191" s="28">
        <f>O195</f>
        <v>23673798.32</v>
      </c>
      <c r="P191" s="25">
        <f t="shared" si="23"/>
        <v>89.88700916088331</v>
      </c>
    </row>
    <row r="192" spans="1:16" ht="18" customHeight="1">
      <c r="A192" s="126"/>
      <c r="B192" s="40" t="s">
        <v>37</v>
      </c>
      <c r="C192" s="40">
        <v>9</v>
      </c>
      <c r="D192" s="40">
        <v>91</v>
      </c>
      <c r="E192" s="40" t="s">
        <v>26</v>
      </c>
      <c r="F192" s="40" t="s">
        <v>17</v>
      </c>
      <c r="G192" s="40" t="s">
        <v>15</v>
      </c>
      <c r="H192" s="40">
        <v>11270</v>
      </c>
      <c r="I192" s="40" t="s">
        <v>71</v>
      </c>
      <c r="J192" s="57"/>
      <c r="K192" s="12"/>
      <c r="L192" s="42"/>
      <c r="M192" s="28">
        <f>M204</f>
        <v>31602800.71</v>
      </c>
      <c r="N192" s="28">
        <f>N204</f>
        <v>17967541</v>
      </c>
      <c r="O192" s="28">
        <f>O204</f>
        <v>17680765.72</v>
      </c>
      <c r="P192" s="25">
        <f t="shared" si="23"/>
        <v>55.94683168193164</v>
      </c>
    </row>
    <row r="193" spans="1:16" ht="18" customHeight="1">
      <c r="A193" s="126"/>
      <c r="B193" s="40" t="s">
        <v>37</v>
      </c>
      <c r="C193" s="40">
        <v>9</v>
      </c>
      <c r="D193" s="40">
        <v>92</v>
      </c>
      <c r="E193" s="40" t="s">
        <v>26</v>
      </c>
      <c r="F193" s="40" t="s">
        <v>17</v>
      </c>
      <c r="G193" s="40" t="s">
        <v>15</v>
      </c>
      <c r="H193" s="40">
        <v>11270</v>
      </c>
      <c r="I193" s="40" t="s">
        <v>71</v>
      </c>
      <c r="J193" s="57"/>
      <c r="K193" s="12"/>
      <c r="L193" s="42"/>
      <c r="M193" s="28">
        <f>M278</f>
        <v>12230877.77</v>
      </c>
      <c r="N193" s="28">
        <f>N278</f>
        <v>1314402.56</v>
      </c>
      <c r="O193" s="28">
        <f>O278</f>
        <v>1314402.56</v>
      </c>
      <c r="P193" s="25">
        <f t="shared" si="23"/>
        <v>10.746592229250936</v>
      </c>
    </row>
    <row r="194" spans="1:16" ht="24" customHeight="1">
      <c r="A194" s="127"/>
      <c r="B194" s="40" t="s">
        <v>37</v>
      </c>
      <c r="C194" s="40">
        <v>9</v>
      </c>
      <c r="D194" s="40">
        <v>92</v>
      </c>
      <c r="E194" s="40" t="s">
        <v>26</v>
      </c>
      <c r="F194" s="40" t="s">
        <v>17</v>
      </c>
      <c r="G194" s="40" t="s">
        <v>15</v>
      </c>
      <c r="H194" s="40" t="s">
        <v>246</v>
      </c>
      <c r="I194" s="40" t="s">
        <v>71</v>
      </c>
      <c r="J194" s="57"/>
      <c r="K194" s="12"/>
      <c r="L194" s="42"/>
      <c r="M194" s="28">
        <f aca="true" t="shared" si="24" ref="M194:O195">M198</f>
        <v>51076297</v>
      </c>
      <c r="N194" s="28">
        <f t="shared" si="24"/>
        <v>26264549.56</v>
      </c>
      <c r="O194" s="28">
        <f t="shared" si="24"/>
        <v>23659205.08</v>
      </c>
      <c r="P194" s="25">
        <f t="shared" si="23"/>
        <v>46.321300622086994</v>
      </c>
    </row>
    <row r="195" spans="1:16" ht="20.25" customHeight="1">
      <c r="A195" s="125" t="s">
        <v>87</v>
      </c>
      <c r="B195" s="40" t="s">
        <v>37</v>
      </c>
      <c r="C195" s="40">
        <v>9</v>
      </c>
      <c r="D195" s="40">
        <v>91</v>
      </c>
      <c r="E195" s="40" t="s">
        <v>26</v>
      </c>
      <c r="F195" s="40" t="s">
        <v>17</v>
      </c>
      <c r="G195" s="40" t="s">
        <v>15</v>
      </c>
      <c r="H195" s="40" t="s">
        <v>246</v>
      </c>
      <c r="I195" s="40" t="s">
        <v>71</v>
      </c>
      <c r="J195" s="57"/>
      <c r="K195" s="12"/>
      <c r="L195" s="42"/>
      <c r="M195" s="28">
        <f t="shared" si="24"/>
        <v>26337285.6</v>
      </c>
      <c r="N195" s="28">
        <f t="shared" si="24"/>
        <v>25128601.720000003</v>
      </c>
      <c r="O195" s="28">
        <f t="shared" si="24"/>
        <v>23673798.32</v>
      </c>
      <c r="P195" s="25">
        <f t="shared" si="23"/>
        <v>89.88700916088331</v>
      </c>
    </row>
    <row r="196" spans="1:16" ht="17.25" customHeight="1">
      <c r="A196" s="126"/>
      <c r="B196" s="40" t="s">
        <v>37</v>
      </c>
      <c r="C196" s="40">
        <v>9</v>
      </c>
      <c r="D196" s="40">
        <v>91</v>
      </c>
      <c r="E196" s="40" t="s">
        <v>26</v>
      </c>
      <c r="F196" s="40" t="s">
        <v>17</v>
      </c>
      <c r="G196" s="40" t="s">
        <v>15</v>
      </c>
      <c r="H196" s="40">
        <v>11270</v>
      </c>
      <c r="I196" s="40" t="s">
        <v>71</v>
      </c>
      <c r="J196" s="57"/>
      <c r="K196" s="12"/>
      <c r="L196" s="42"/>
      <c r="M196" s="28">
        <f>M204</f>
        <v>31602800.71</v>
      </c>
      <c r="N196" s="28">
        <f>N204</f>
        <v>17967541</v>
      </c>
      <c r="O196" s="28">
        <f>O204</f>
        <v>17680765.72</v>
      </c>
      <c r="P196" s="25">
        <f t="shared" si="23"/>
        <v>55.94683168193164</v>
      </c>
    </row>
    <row r="197" spans="1:16" ht="20.25" customHeight="1">
      <c r="A197" s="126"/>
      <c r="B197" s="40" t="s">
        <v>37</v>
      </c>
      <c r="C197" s="40">
        <v>9</v>
      </c>
      <c r="D197" s="40">
        <v>92</v>
      </c>
      <c r="E197" s="40" t="s">
        <v>26</v>
      </c>
      <c r="F197" s="40" t="s">
        <v>17</v>
      </c>
      <c r="G197" s="40" t="s">
        <v>15</v>
      </c>
      <c r="H197" s="40">
        <v>11270</v>
      </c>
      <c r="I197" s="40" t="s">
        <v>71</v>
      </c>
      <c r="J197" s="57"/>
      <c r="K197" s="12"/>
      <c r="L197" s="42"/>
      <c r="M197" s="28">
        <f>M278</f>
        <v>12230877.77</v>
      </c>
      <c r="N197" s="28">
        <f>N278</f>
        <v>1314402.56</v>
      </c>
      <c r="O197" s="28">
        <f>O278</f>
        <v>1314402.56</v>
      </c>
      <c r="P197" s="25">
        <f t="shared" si="23"/>
        <v>10.746592229250936</v>
      </c>
    </row>
    <row r="198" spans="1:16" ht="18.75" customHeight="1">
      <c r="A198" s="127"/>
      <c r="B198" s="40" t="s">
        <v>37</v>
      </c>
      <c r="C198" s="40">
        <v>9</v>
      </c>
      <c r="D198" s="40">
        <v>92</v>
      </c>
      <c r="E198" s="40" t="s">
        <v>26</v>
      </c>
      <c r="F198" s="40" t="s">
        <v>17</v>
      </c>
      <c r="G198" s="40" t="s">
        <v>15</v>
      </c>
      <c r="H198" s="40" t="s">
        <v>246</v>
      </c>
      <c r="I198" s="40" t="s">
        <v>71</v>
      </c>
      <c r="J198" s="57"/>
      <c r="K198" s="12"/>
      <c r="L198" s="42"/>
      <c r="M198" s="28">
        <f aca="true" t="shared" si="25" ref="M198:O200">M202</f>
        <v>51076297</v>
      </c>
      <c r="N198" s="28">
        <f t="shared" si="25"/>
        <v>26264549.56</v>
      </c>
      <c r="O198" s="28">
        <f t="shared" si="25"/>
        <v>23659205.08</v>
      </c>
      <c r="P198" s="25">
        <f t="shared" si="23"/>
        <v>46.321300622086994</v>
      </c>
    </row>
    <row r="199" spans="1:16" ht="20.25" customHeight="1">
      <c r="A199" s="125" t="s">
        <v>176</v>
      </c>
      <c r="B199" s="40" t="s">
        <v>37</v>
      </c>
      <c r="C199" s="40">
        <v>9</v>
      </c>
      <c r="D199" s="40">
        <v>91</v>
      </c>
      <c r="E199" s="40" t="s">
        <v>26</v>
      </c>
      <c r="F199" s="40" t="s">
        <v>17</v>
      </c>
      <c r="G199" s="40" t="s">
        <v>15</v>
      </c>
      <c r="H199" s="40" t="s">
        <v>246</v>
      </c>
      <c r="I199" s="40" t="s">
        <v>71</v>
      </c>
      <c r="J199" s="57"/>
      <c r="K199" s="12"/>
      <c r="L199" s="42"/>
      <c r="M199" s="28">
        <f t="shared" si="25"/>
        <v>26337285.6</v>
      </c>
      <c r="N199" s="28">
        <f t="shared" si="25"/>
        <v>25128601.720000003</v>
      </c>
      <c r="O199" s="28">
        <f t="shared" si="25"/>
        <v>23673798.32</v>
      </c>
      <c r="P199" s="25">
        <f t="shared" si="23"/>
        <v>89.88700916088331</v>
      </c>
    </row>
    <row r="200" spans="1:16" ht="18.75" customHeight="1">
      <c r="A200" s="126"/>
      <c r="B200" s="40" t="s">
        <v>37</v>
      </c>
      <c r="C200" s="40">
        <v>9</v>
      </c>
      <c r="D200" s="40">
        <v>91</v>
      </c>
      <c r="E200" s="40" t="s">
        <v>26</v>
      </c>
      <c r="F200" s="40" t="s">
        <v>17</v>
      </c>
      <c r="G200" s="40" t="s">
        <v>15</v>
      </c>
      <c r="H200" s="40">
        <v>11270</v>
      </c>
      <c r="I200" s="40" t="s">
        <v>71</v>
      </c>
      <c r="J200" s="57"/>
      <c r="K200" s="12"/>
      <c r="L200" s="42"/>
      <c r="M200" s="28">
        <f t="shared" si="25"/>
        <v>31602800.71</v>
      </c>
      <c r="N200" s="28">
        <f t="shared" si="25"/>
        <v>17967541</v>
      </c>
      <c r="O200" s="28">
        <f t="shared" si="25"/>
        <v>17680765.72</v>
      </c>
      <c r="P200" s="25">
        <f t="shared" si="23"/>
        <v>55.94683168193164</v>
      </c>
    </row>
    <row r="201" spans="1:16" ht="18" customHeight="1">
      <c r="A201" s="126"/>
      <c r="B201" s="40" t="s">
        <v>37</v>
      </c>
      <c r="C201" s="40">
        <v>9</v>
      </c>
      <c r="D201" s="40">
        <v>92</v>
      </c>
      <c r="E201" s="40" t="s">
        <v>26</v>
      </c>
      <c r="F201" s="40" t="s">
        <v>17</v>
      </c>
      <c r="G201" s="40" t="s">
        <v>15</v>
      </c>
      <c r="H201" s="40">
        <v>11270</v>
      </c>
      <c r="I201" s="40" t="s">
        <v>71</v>
      </c>
      <c r="J201" s="57"/>
      <c r="K201" s="12"/>
      <c r="L201" s="42"/>
      <c r="M201" s="28">
        <f>M278</f>
        <v>12230877.77</v>
      </c>
      <c r="N201" s="28">
        <f>N278</f>
        <v>1314402.56</v>
      </c>
      <c r="O201" s="28">
        <f>O278</f>
        <v>1314402.56</v>
      </c>
      <c r="P201" s="25">
        <f t="shared" si="23"/>
        <v>10.746592229250936</v>
      </c>
    </row>
    <row r="202" spans="1:16" ht="19.5" customHeight="1">
      <c r="A202" s="127"/>
      <c r="B202" s="40" t="s">
        <v>37</v>
      </c>
      <c r="C202" s="40">
        <v>9</v>
      </c>
      <c r="D202" s="40">
        <v>92</v>
      </c>
      <c r="E202" s="40" t="s">
        <v>26</v>
      </c>
      <c r="F202" s="40" t="s">
        <v>17</v>
      </c>
      <c r="G202" s="40" t="s">
        <v>15</v>
      </c>
      <c r="H202" s="40" t="s">
        <v>246</v>
      </c>
      <c r="I202" s="40" t="s">
        <v>71</v>
      </c>
      <c r="J202" s="57"/>
      <c r="K202" s="12"/>
      <c r="L202" s="42"/>
      <c r="M202" s="28">
        <f>M277</f>
        <v>51076297</v>
      </c>
      <c r="N202" s="28">
        <f>N277</f>
        <v>26264549.56</v>
      </c>
      <c r="O202" s="28">
        <f>O277</f>
        <v>23659205.08</v>
      </c>
      <c r="P202" s="25">
        <f t="shared" si="23"/>
        <v>46.321300622086994</v>
      </c>
    </row>
    <row r="203" spans="1:16" ht="19.5" customHeight="1">
      <c r="A203" s="125" t="s">
        <v>76</v>
      </c>
      <c r="B203" s="40" t="s">
        <v>37</v>
      </c>
      <c r="C203" s="40">
        <v>9</v>
      </c>
      <c r="D203" s="40">
        <v>91</v>
      </c>
      <c r="E203" s="40" t="s">
        <v>26</v>
      </c>
      <c r="F203" s="40" t="s">
        <v>17</v>
      </c>
      <c r="G203" s="40" t="s">
        <v>15</v>
      </c>
      <c r="H203" s="40" t="s">
        <v>246</v>
      </c>
      <c r="I203" s="40" t="s">
        <v>71</v>
      </c>
      <c r="J203" s="57"/>
      <c r="K203" s="12"/>
      <c r="L203" s="42"/>
      <c r="M203" s="23">
        <f>M206+M210+M215+M220+M225+M240+M244+M249+M260+M269+M273+M230+M235</f>
        <v>26337285.6</v>
      </c>
      <c r="N203" s="23">
        <f>N206+N210+N215+N220+N225+N240+N244+N249+N260+N269+N273+N230+N235</f>
        <v>25128601.720000003</v>
      </c>
      <c r="O203" s="23">
        <f>O206+O210+O215+O220+O225+O240+O244+O249+O260+O269+O273+O230+O235</f>
        <v>23673798.32</v>
      </c>
      <c r="P203" s="25">
        <f t="shared" si="23"/>
        <v>89.88700916088331</v>
      </c>
    </row>
    <row r="204" spans="1:16" ht="18" customHeight="1">
      <c r="A204" s="127"/>
      <c r="B204" s="40" t="s">
        <v>37</v>
      </c>
      <c r="C204" s="40">
        <v>9</v>
      </c>
      <c r="D204" s="40">
        <v>91</v>
      </c>
      <c r="E204" s="40" t="s">
        <v>26</v>
      </c>
      <c r="F204" s="40" t="s">
        <v>17</v>
      </c>
      <c r="G204" s="40" t="s">
        <v>15</v>
      </c>
      <c r="H204" s="40">
        <v>11270</v>
      </c>
      <c r="I204" s="40" t="s">
        <v>71</v>
      </c>
      <c r="J204" s="57"/>
      <c r="K204" s="12"/>
      <c r="L204" s="42"/>
      <c r="M204" s="23">
        <f>M254+M267+M265+M234+M255</f>
        <v>31602800.71</v>
      </c>
      <c r="N204" s="23">
        <f>N254+N267+N265+N234+N255</f>
        <v>17967541</v>
      </c>
      <c r="O204" s="23">
        <f>O254+O267+O265+O234+O255</f>
        <v>17680765.72</v>
      </c>
      <c r="P204" s="25">
        <f t="shared" si="23"/>
        <v>55.94683168193164</v>
      </c>
    </row>
    <row r="205" spans="1:16" ht="15.75">
      <c r="A205" s="20" t="s">
        <v>107</v>
      </c>
      <c r="B205" s="40"/>
      <c r="C205" s="40"/>
      <c r="D205" s="40"/>
      <c r="E205" s="40"/>
      <c r="F205" s="40"/>
      <c r="G205" s="40"/>
      <c r="H205" s="40"/>
      <c r="I205" s="40"/>
      <c r="J205" s="57"/>
      <c r="K205" s="12"/>
      <c r="L205" s="42"/>
      <c r="M205" s="23">
        <f>M206+M210</f>
        <v>1646118.65</v>
      </c>
      <c r="N205" s="23">
        <f>N206+N210</f>
        <v>1627644.4</v>
      </c>
      <c r="O205" s="23">
        <f>O206+O210</f>
        <v>1627644.4</v>
      </c>
      <c r="P205" s="25">
        <f t="shared" si="23"/>
        <v>98.87770848109886</v>
      </c>
    </row>
    <row r="206" spans="1:16" ht="33.75" customHeight="1">
      <c r="A206" s="91" t="s">
        <v>138</v>
      </c>
      <c r="B206" s="11" t="s">
        <v>37</v>
      </c>
      <c r="C206" s="11">
        <v>9</v>
      </c>
      <c r="D206" s="11">
        <v>91</v>
      </c>
      <c r="E206" s="11" t="s">
        <v>26</v>
      </c>
      <c r="F206" s="11" t="s">
        <v>17</v>
      </c>
      <c r="G206" s="11" t="s">
        <v>15</v>
      </c>
      <c r="H206" s="11" t="s">
        <v>246</v>
      </c>
      <c r="I206" s="11" t="s">
        <v>71</v>
      </c>
      <c r="J206" s="57" t="s">
        <v>58</v>
      </c>
      <c r="K206" s="92">
        <v>0.793</v>
      </c>
      <c r="L206" s="42">
        <v>2017</v>
      </c>
      <c r="M206" s="33">
        <f>M208+M209</f>
        <v>1319788.9</v>
      </c>
      <c r="N206" s="33">
        <f>N208+N209</f>
        <v>1308389.4</v>
      </c>
      <c r="O206" s="33">
        <f>O208+O209</f>
        <v>1308389.4</v>
      </c>
      <c r="P206" s="24">
        <f>O206/M206*100</f>
        <v>99.13626338272734</v>
      </c>
    </row>
    <row r="207" spans="1:16" ht="17.25" customHeight="1">
      <c r="A207" s="78" t="s">
        <v>49</v>
      </c>
      <c r="B207" s="11"/>
      <c r="C207" s="11"/>
      <c r="D207" s="11"/>
      <c r="E207" s="11"/>
      <c r="F207" s="11"/>
      <c r="G207" s="11"/>
      <c r="H207" s="11"/>
      <c r="I207" s="11"/>
      <c r="J207" s="57"/>
      <c r="K207" s="92"/>
      <c r="L207" s="42"/>
      <c r="M207" s="33"/>
      <c r="N207" s="33"/>
      <c r="O207" s="33"/>
      <c r="P207" s="24"/>
    </row>
    <row r="208" spans="1:16" ht="19.5" customHeight="1">
      <c r="A208" s="78" t="s">
        <v>345</v>
      </c>
      <c r="B208" s="11"/>
      <c r="C208" s="11"/>
      <c r="D208" s="11"/>
      <c r="E208" s="11"/>
      <c r="F208" s="11"/>
      <c r="G208" s="11"/>
      <c r="H208" s="11"/>
      <c r="I208" s="11"/>
      <c r="J208" s="57"/>
      <c r="K208" s="92"/>
      <c r="L208" s="42"/>
      <c r="M208" s="33">
        <f>706668-10413.36</f>
        <v>696254.64</v>
      </c>
      <c r="N208" s="33">
        <v>690306.24</v>
      </c>
      <c r="O208" s="33">
        <v>690306.24</v>
      </c>
      <c r="P208" s="24">
        <f>O208/M208*100</f>
        <v>99.14565739913776</v>
      </c>
    </row>
    <row r="209" spans="1:16" ht="20.25" customHeight="1">
      <c r="A209" s="78" t="s">
        <v>346</v>
      </c>
      <c r="B209" s="11"/>
      <c r="C209" s="11"/>
      <c r="D209" s="11"/>
      <c r="E209" s="11"/>
      <c r="F209" s="11"/>
      <c r="G209" s="11"/>
      <c r="H209" s="11"/>
      <c r="I209" s="11"/>
      <c r="J209" s="57"/>
      <c r="K209" s="92"/>
      <c r="L209" s="42"/>
      <c r="M209" s="33">
        <f>632860-9325.74</f>
        <v>623534.26</v>
      </c>
      <c r="N209" s="33">
        <v>618083.16</v>
      </c>
      <c r="O209" s="33">
        <v>618083.16</v>
      </c>
      <c r="P209" s="24">
        <f>O209/M209*100</f>
        <v>99.12577377865333</v>
      </c>
    </row>
    <row r="210" spans="1:16" ht="17.25" customHeight="1">
      <c r="A210" s="91" t="s">
        <v>298</v>
      </c>
      <c r="B210" s="11" t="s">
        <v>37</v>
      </c>
      <c r="C210" s="11">
        <v>9</v>
      </c>
      <c r="D210" s="11">
        <v>91</v>
      </c>
      <c r="E210" s="11" t="s">
        <v>26</v>
      </c>
      <c r="F210" s="11" t="s">
        <v>17</v>
      </c>
      <c r="G210" s="11" t="s">
        <v>15</v>
      </c>
      <c r="H210" s="11" t="s">
        <v>246</v>
      </c>
      <c r="I210" s="11" t="s">
        <v>71</v>
      </c>
      <c r="J210" s="57" t="s">
        <v>58</v>
      </c>
      <c r="K210" s="92">
        <v>0.441</v>
      </c>
      <c r="L210" s="42">
        <v>2017</v>
      </c>
      <c r="M210" s="33">
        <f>M212+M213</f>
        <v>326329.75</v>
      </c>
      <c r="N210" s="33">
        <f>N212+N213</f>
        <v>319255</v>
      </c>
      <c r="O210" s="33">
        <f>O212+O213</f>
        <v>319255</v>
      </c>
      <c r="P210" s="24">
        <f>O210/M210*100</f>
        <v>97.83202420251294</v>
      </c>
    </row>
    <row r="211" spans="1:16" ht="17.25" customHeight="1">
      <c r="A211" s="78" t="s">
        <v>49</v>
      </c>
      <c r="B211" s="11"/>
      <c r="C211" s="11"/>
      <c r="D211" s="11"/>
      <c r="E211" s="11"/>
      <c r="F211" s="11"/>
      <c r="G211" s="11"/>
      <c r="H211" s="11"/>
      <c r="I211" s="11"/>
      <c r="J211" s="57"/>
      <c r="K211" s="92"/>
      <c r="L211" s="42"/>
      <c r="M211" s="33"/>
      <c r="N211" s="33"/>
      <c r="O211" s="33"/>
      <c r="P211" s="24"/>
    </row>
    <row r="212" spans="1:16" ht="17.25" customHeight="1">
      <c r="A212" s="78" t="s">
        <v>345</v>
      </c>
      <c r="B212" s="11"/>
      <c r="C212" s="11"/>
      <c r="D212" s="11"/>
      <c r="E212" s="11"/>
      <c r="F212" s="11"/>
      <c r="G212" s="11"/>
      <c r="H212" s="11"/>
      <c r="I212" s="11"/>
      <c r="J212" s="57"/>
      <c r="K212" s="92"/>
      <c r="L212" s="42"/>
      <c r="M212" s="33">
        <f>196009-23853.31</f>
        <v>172155.69</v>
      </c>
      <c r="N212" s="33">
        <v>168438.94</v>
      </c>
      <c r="O212" s="33">
        <v>168438.94</v>
      </c>
      <c r="P212" s="24">
        <f>O212/M212*100</f>
        <v>97.84105306074984</v>
      </c>
    </row>
    <row r="213" spans="1:16" ht="20.25" customHeight="1">
      <c r="A213" s="78" t="s">
        <v>346</v>
      </c>
      <c r="B213" s="11"/>
      <c r="C213" s="11"/>
      <c r="D213" s="11"/>
      <c r="E213" s="11"/>
      <c r="F213" s="11"/>
      <c r="G213" s="11"/>
      <c r="H213" s="11"/>
      <c r="I213" s="11"/>
      <c r="J213" s="57"/>
      <c r="K213" s="92"/>
      <c r="L213" s="42"/>
      <c r="M213" s="33">
        <f>175536-21361.94</f>
        <v>154174.06</v>
      </c>
      <c r="N213" s="33">
        <v>150816.06</v>
      </c>
      <c r="O213" s="33">
        <v>150816.06</v>
      </c>
      <c r="P213" s="24">
        <f>O213/M213*100</f>
        <v>97.82194229042162</v>
      </c>
    </row>
    <row r="214" spans="1:16" ht="21" customHeight="1">
      <c r="A214" s="20" t="s">
        <v>88</v>
      </c>
      <c r="B214" s="11"/>
      <c r="C214" s="11"/>
      <c r="D214" s="11"/>
      <c r="E214" s="11"/>
      <c r="F214" s="11"/>
      <c r="G214" s="11"/>
      <c r="H214" s="11"/>
      <c r="I214" s="11"/>
      <c r="J214" s="57"/>
      <c r="K214" s="92"/>
      <c r="L214" s="42"/>
      <c r="M214" s="23">
        <f>M215</f>
        <v>8744343.309999999</v>
      </c>
      <c r="N214" s="23">
        <f>N215</f>
        <v>8603744.16</v>
      </c>
      <c r="O214" s="23">
        <f>O215</f>
        <v>8603744.16</v>
      </c>
      <c r="P214" s="25">
        <f>O214/M214*100</f>
        <v>98.3921131065473</v>
      </c>
    </row>
    <row r="215" spans="1:16" ht="20.25" customHeight="1">
      <c r="A215" s="10" t="s">
        <v>344</v>
      </c>
      <c r="B215" s="11" t="s">
        <v>37</v>
      </c>
      <c r="C215" s="11">
        <v>9</v>
      </c>
      <c r="D215" s="11">
        <v>91</v>
      </c>
      <c r="E215" s="11" t="s">
        <v>26</v>
      </c>
      <c r="F215" s="11" t="s">
        <v>17</v>
      </c>
      <c r="G215" s="11" t="s">
        <v>15</v>
      </c>
      <c r="H215" s="11" t="s">
        <v>246</v>
      </c>
      <c r="I215" s="11" t="s">
        <v>71</v>
      </c>
      <c r="J215" s="57" t="s">
        <v>58</v>
      </c>
      <c r="K215" s="92">
        <v>8.354</v>
      </c>
      <c r="L215" s="42">
        <v>2017</v>
      </c>
      <c r="M215" s="33">
        <f>M217+M218</f>
        <v>8744343.309999999</v>
      </c>
      <c r="N215" s="33">
        <f>N217+N218</f>
        <v>8603744.16</v>
      </c>
      <c r="O215" s="33">
        <f>O217+O218</f>
        <v>8603744.16</v>
      </c>
      <c r="P215" s="24">
        <f>O215/M215*100</f>
        <v>98.3921131065473</v>
      </c>
    </row>
    <row r="216" spans="1:16" ht="19.5" customHeight="1">
      <c r="A216" s="78" t="s">
        <v>49</v>
      </c>
      <c r="B216" s="11"/>
      <c r="C216" s="11"/>
      <c r="D216" s="11"/>
      <c r="E216" s="11"/>
      <c r="F216" s="11"/>
      <c r="G216" s="11"/>
      <c r="H216" s="11"/>
      <c r="I216" s="11"/>
      <c r="J216" s="57"/>
      <c r="K216" s="92"/>
      <c r="L216" s="42"/>
      <c r="M216" s="33"/>
      <c r="N216" s="33"/>
      <c r="O216" s="33"/>
      <c r="P216" s="24"/>
    </row>
    <row r="217" spans="1:16" ht="21" customHeight="1">
      <c r="A217" s="78" t="s">
        <v>345</v>
      </c>
      <c r="B217" s="11"/>
      <c r="C217" s="11"/>
      <c r="D217" s="11"/>
      <c r="E217" s="11"/>
      <c r="F217" s="11"/>
      <c r="G217" s="11"/>
      <c r="H217" s="11"/>
      <c r="I217" s="11"/>
      <c r="J217" s="57"/>
      <c r="K217" s="92"/>
      <c r="L217" s="42"/>
      <c r="M217" s="33">
        <v>4613037.76</v>
      </c>
      <c r="N217" s="33">
        <v>4539335.42</v>
      </c>
      <c r="O217" s="33">
        <v>4539335.42</v>
      </c>
      <c r="P217" s="24">
        <f>O217/M217*100</f>
        <v>98.40230356146056</v>
      </c>
    </row>
    <row r="218" spans="1:16" ht="18.75" customHeight="1">
      <c r="A218" s="78" t="s">
        <v>346</v>
      </c>
      <c r="B218" s="11"/>
      <c r="C218" s="11"/>
      <c r="D218" s="11"/>
      <c r="E218" s="11"/>
      <c r="F218" s="11"/>
      <c r="G218" s="11"/>
      <c r="H218" s="11"/>
      <c r="I218" s="11"/>
      <c r="J218" s="57"/>
      <c r="K218" s="92"/>
      <c r="L218" s="42"/>
      <c r="M218" s="33">
        <v>4131305.55</v>
      </c>
      <c r="N218" s="33">
        <v>4064408.74</v>
      </c>
      <c r="O218" s="33">
        <v>4064408.74</v>
      </c>
      <c r="P218" s="24">
        <f>O218/M218*100</f>
        <v>98.38073439036724</v>
      </c>
    </row>
    <row r="219" spans="1:16" ht="21" customHeight="1">
      <c r="A219" s="39" t="s">
        <v>72</v>
      </c>
      <c r="B219" s="40"/>
      <c r="C219" s="40"/>
      <c r="D219" s="40"/>
      <c r="E219" s="40"/>
      <c r="F219" s="40"/>
      <c r="G219" s="40"/>
      <c r="H219" s="40"/>
      <c r="I219" s="40"/>
      <c r="J219" s="57"/>
      <c r="K219" s="92"/>
      <c r="L219" s="42"/>
      <c r="M219" s="23">
        <f>M220</f>
        <v>1436009.65</v>
      </c>
      <c r="N219" s="23">
        <f>N220</f>
        <v>1419859.55</v>
      </c>
      <c r="O219" s="23">
        <f>O220</f>
        <v>1419859.55</v>
      </c>
      <c r="P219" s="25">
        <f>O219/M219*100</f>
        <v>98.87534878334559</v>
      </c>
    </row>
    <row r="220" spans="1:16" ht="34.5" customHeight="1">
      <c r="A220" s="61" t="s">
        <v>139</v>
      </c>
      <c r="B220" s="11" t="s">
        <v>37</v>
      </c>
      <c r="C220" s="11">
        <v>9</v>
      </c>
      <c r="D220" s="11">
        <v>91</v>
      </c>
      <c r="E220" s="11" t="s">
        <v>26</v>
      </c>
      <c r="F220" s="11" t="s">
        <v>17</v>
      </c>
      <c r="G220" s="11" t="s">
        <v>15</v>
      </c>
      <c r="H220" s="11" t="s">
        <v>246</v>
      </c>
      <c r="I220" s="11" t="s">
        <v>71</v>
      </c>
      <c r="J220" s="57" t="s">
        <v>58</v>
      </c>
      <c r="K220" s="92">
        <v>1.195</v>
      </c>
      <c r="L220" s="42">
        <v>2017</v>
      </c>
      <c r="M220" s="33">
        <f>M222+M223</f>
        <v>1436009.65</v>
      </c>
      <c r="N220" s="33">
        <f>N222+N223</f>
        <v>1419859.55</v>
      </c>
      <c r="O220" s="33">
        <f>O222+O223</f>
        <v>1419859.55</v>
      </c>
      <c r="P220" s="24">
        <f>O220/M220*100</f>
        <v>98.87534878334559</v>
      </c>
    </row>
    <row r="221" spans="1:16" ht="15.75">
      <c r="A221" s="78" t="s">
        <v>49</v>
      </c>
      <c r="B221" s="11"/>
      <c r="C221" s="11"/>
      <c r="D221" s="11"/>
      <c r="E221" s="11"/>
      <c r="F221" s="11"/>
      <c r="G221" s="11"/>
      <c r="H221" s="11"/>
      <c r="I221" s="11"/>
      <c r="J221" s="57"/>
      <c r="K221" s="92"/>
      <c r="L221" s="42"/>
      <c r="M221" s="33"/>
      <c r="N221" s="33"/>
      <c r="O221" s="33"/>
      <c r="P221" s="24"/>
    </row>
    <row r="222" spans="1:16" ht="19.5" customHeight="1">
      <c r="A222" s="78" t="s">
        <v>345</v>
      </c>
      <c r="B222" s="11"/>
      <c r="C222" s="11"/>
      <c r="D222" s="11"/>
      <c r="E222" s="11"/>
      <c r="F222" s="11"/>
      <c r="G222" s="11"/>
      <c r="H222" s="11"/>
      <c r="I222" s="11"/>
      <c r="J222" s="57"/>
      <c r="K222" s="92"/>
      <c r="L222" s="42"/>
      <c r="M222" s="33">
        <f>909229-151661.31</f>
        <v>757567.69</v>
      </c>
      <c r="N222" s="33">
        <v>749117.9</v>
      </c>
      <c r="O222" s="33">
        <v>749117.9</v>
      </c>
      <c r="P222" s="24">
        <f>O222/M222*100</f>
        <v>98.88461584205103</v>
      </c>
    </row>
    <row r="223" spans="1:16" ht="18" customHeight="1">
      <c r="A223" s="78" t="s">
        <v>346</v>
      </c>
      <c r="B223" s="11"/>
      <c r="C223" s="11"/>
      <c r="D223" s="11"/>
      <c r="E223" s="11"/>
      <c r="F223" s="11"/>
      <c r="G223" s="11"/>
      <c r="H223" s="11"/>
      <c r="I223" s="11"/>
      <c r="J223" s="57"/>
      <c r="K223" s="92"/>
      <c r="L223" s="42"/>
      <c r="M223" s="33">
        <f>814263-135821.04</f>
        <v>678441.96</v>
      </c>
      <c r="N223" s="33">
        <v>670741.65</v>
      </c>
      <c r="O223" s="33">
        <v>670741.65</v>
      </c>
      <c r="P223" s="24">
        <f>O223/M223*100</f>
        <v>98.86500092063882</v>
      </c>
    </row>
    <row r="224" spans="1:16" ht="17.25" customHeight="1">
      <c r="A224" s="39" t="s">
        <v>55</v>
      </c>
      <c r="B224" s="11"/>
      <c r="C224" s="11"/>
      <c r="D224" s="11"/>
      <c r="E224" s="11"/>
      <c r="F224" s="11"/>
      <c r="G224" s="11"/>
      <c r="H224" s="11"/>
      <c r="I224" s="11"/>
      <c r="J224" s="57"/>
      <c r="K224" s="92"/>
      <c r="L224" s="42"/>
      <c r="M224" s="23">
        <f>M225</f>
        <v>3427116.38</v>
      </c>
      <c r="N224" s="23">
        <f>N225</f>
        <v>3390066.45</v>
      </c>
      <c r="O224" s="23">
        <f>O225</f>
        <v>3390066.45</v>
      </c>
      <c r="P224" s="25">
        <f>O224/M224*100</f>
        <v>98.91891824228041</v>
      </c>
    </row>
    <row r="225" spans="1:16" ht="31.5">
      <c r="A225" s="61" t="s">
        <v>140</v>
      </c>
      <c r="B225" s="11" t="s">
        <v>37</v>
      </c>
      <c r="C225" s="11">
        <v>9</v>
      </c>
      <c r="D225" s="11">
        <v>91</v>
      </c>
      <c r="E225" s="11" t="s">
        <v>26</v>
      </c>
      <c r="F225" s="11" t="s">
        <v>17</v>
      </c>
      <c r="G225" s="11" t="s">
        <v>15</v>
      </c>
      <c r="H225" s="11" t="s">
        <v>246</v>
      </c>
      <c r="I225" s="11" t="s">
        <v>71</v>
      </c>
      <c r="J225" s="57" t="s">
        <v>58</v>
      </c>
      <c r="K225" s="92">
        <v>2.743</v>
      </c>
      <c r="L225" s="42">
        <v>2017</v>
      </c>
      <c r="M225" s="33">
        <f>M227+M228</f>
        <v>3427116.38</v>
      </c>
      <c r="N225" s="33">
        <f>N227+N228</f>
        <v>3390066.45</v>
      </c>
      <c r="O225" s="33">
        <f>O227+O228</f>
        <v>3390066.45</v>
      </c>
      <c r="P225" s="24">
        <f>O225/M225*100</f>
        <v>98.91891824228041</v>
      </c>
    </row>
    <row r="226" spans="1:16" ht="15.75">
      <c r="A226" s="78" t="s">
        <v>49</v>
      </c>
      <c r="B226" s="11"/>
      <c r="C226" s="11"/>
      <c r="D226" s="11"/>
      <c r="E226" s="11"/>
      <c r="F226" s="11"/>
      <c r="G226" s="11"/>
      <c r="H226" s="11"/>
      <c r="I226" s="11"/>
      <c r="J226" s="57"/>
      <c r="K226" s="92"/>
      <c r="L226" s="42"/>
      <c r="M226" s="33"/>
      <c r="N226" s="33"/>
      <c r="O226" s="33"/>
      <c r="P226" s="24"/>
    </row>
    <row r="227" spans="1:16" ht="17.25" customHeight="1">
      <c r="A227" s="78" t="s">
        <v>345</v>
      </c>
      <c r="B227" s="11"/>
      <c r="C227" s="11"/>
      <c r="D227" s="11"/>
      <c r="E227" s="11"/>
      <c r="F227" s="11"/>
      <c r="G227" s="11"/>
      <c r="H227" s="11"/>
      <c r="I227" s="11"/>
      <c r="J227" s="57"/>
      <c r="K227" s="92"/>
      <c r="L227" s="42"/>
      <c r="M227" s="33">
        <v>1807938.31</v>
      </c>
      <c r="N227" s="33">
        <v>1788599.06</v>
      </c>
      <c r="O227" s="33">
        <v>1788599.06</v>
      </c>
      <c r="P227" s="24">
        <f>O227/M227*100</f>
        <v>98.93031471853705</v>
      </c>
    </row>
    <row r="228" spans="1:16" ht="17.25" customHeight="1">
      <c r="A228" s="78" t="s">
        <v>346</v>
      </c>
      <c r="B228" s="11"/>
      <c r="C228" s="11"/>
      <c r="D228" s="11"/>
      <c r="E228" s="11"/>
      <c r="F228" s="11"/>
      <c r="G228" s="11"/>
      <c r="H228" s="11"/>
      <c r="I228" s="11"/>
      <c r="J228" s="57"/>
      <c r="K228" s="92"/>
      <c r="L228" s="42"/>
      <c r="M228" s="33">
        <v>1619178.07</v>
      </c>
      <c r="N228" s="33">
        <v>1601467.39</v>
      </c>
      <c r="O228" s="33">
        <v>1601467.39</v>
      </c>
      <c r="P228" s="24">
        <f>O228/M228*100</f>
        <v>98.9061931897336</v>
      </c>
    </row>
    <row r="229" spans="1:16" ht="15.75">
      <c r="A229" s="44" t="s">
        <v>65</v>
      </c>
      <c r="B229" s="11"/>
      <c r="C229" s="11"/>
      <c r="D229" s="11"/>
      <c r="E229" s="11"/>
      <c r="F229" s="11"/>
      <c r="G229" s="11"/>
      <c r="H229" s="11"/>
      <c r="I229" s="11"/>
      <c r="J229" s="57"/>
      <c r="K229" s="92"/>
      <c r="L229" s="42"/>
      <c r="M229" s="23">
        <f>M230+M234+M235</f>
        <v>2366032.95</v>
      </c>
      <c r="N229" s="23">
        <f>N230+N234+N235</f>
        <v>1544419.75</v>
      </c>
      <c r="O229" s="23">
        <f>O230+O234+O235</f>
        <v>0</v>
      </c>
      <c r="P229" s="23">
        <f>O229/M229*100</f>
        <v>0</v>
      </c>
    </row>
    <row r="230" spans="1:16" ht="15.75">
      <c r="A230" s="10" t="s">
        <v>414</v>
      </c>
      <c r="B230" s="11" t="s">
        <v>37</v>
      </c>
      <c r="C230" s="11">
        <v>9</v>
      </c>
      <c r="D230" s="11">
        <v>91</v>
      </c>
      <c r="E230" s="11" t="s">
        <v>26</v>
      </c>
      <c r="F230" s="11" t="s">
        <v>17</v>
      </c>
      <c r="G230" s="11" t="s">
        <v>15</v>
      </c>
      <c r="H230" s="11" t="s">
        <v>246</v>
      </c>
      <c r="I230" s="11" t="s">
        <v>71</v>
      </c>
      <c r="J230" s="57" t="s">
        <v>58</v>
      </c>
      <c r="K230" s="92">
        <v>1.439</v>
      </c>
      <c r="L230" s="42">
        <v>2017</v>
      </c>
      <c r="M230" s="33">
        <f>M232+M233</f>
        <v>1110467.6</v>
      </c>
      <c r="N230" s="33">
        <f>N232+N233</f>
        <v>846837.6000000001</v>
      </c>
      <c r="O230" s="33">
        <f>O232+O233</f>
        <v>0</v>
      </c>
      <c r="P230" s="24">
        <f>O230/M230*100</f>
        <v>0</v>
      </c>
    </row>
    <row r="231" spans="1:16" ht="15.75">
      <c r="A231" s="78" t="s">
        <v>49</v>
      </c>
      <c r="B231" s="11"/>
      <c r="C231" s="11"/>
      <c r="D231" s="11"/>
      <c r="E231" s="11"/>
      <c r="F231" s="11"/>
      <c r="G231" s="11"/>
      <c r="H231" s="11"/>
      <c r="I231" s="11"/>
      <c r="J231" s="57"/>
      <c r="K231" s="92"/>
      <c r="L231" s="42"/>
      <c r="M231" s="33"/>
      <c r="N231" s="33"/>
      <c r="O231" s="33"/>
      <c r="P231" s="24"/>
    </row>
    <row r="232" spans="1:16" ht="15.75">
      <c r="A232" s="78" t="s">
        <v>345</v>
      </c>
      <c r="B232" s="11"/>
      <c r="C232" s="11"/>
      <c r="D232" s="11"/>
      <c r="E232" s="11"/>
      <c r="F232" s="11"/>
      <c r="G232" s="11"/>
      <c r="H232" s="11"/>
      <c r="I232" s="11"/>
      <c r="J232" s="57"/>
      <c r="K232" s="92"/>
      <c r="L232" s="42"/>
      <c r="M232" s="33">
        <v>585768.57</v>
      </c>
      <c r="N232" s="33">
        <v>446791.52</v>
      </c>
      <c r="O232" s="33">
        <v>0</v>
      </c>
      <c r="P232" s="24">
        <f>O232/M232*100</f>
        <v>0</v>
      </c>
    </row>
    <row r="233" spans="1:16" ht="15.75">
      <c r="A233" s="78" t="s">
        <v>346</v>
      </c>
      <c r="B233" s="11"/>
      <c r="C233" s="11"/>
      <c r="D233" s="11"/>
      <c r="E233" s="11"/>
      <c r="F233" s="11"/>
      <c r="G233" s="11"/>
      <c r="H233" s="11"/>
      <c r="I233" s="11"/>
      <c r="J233" s="57"/>
      <c r="K233" s="92"/>
      <c r="L233" s="42"/>
      <c r="M233" s="33">
        <v>524699.03</v>
      </c>
      <c r="N233" s="33">
        <v>400046.08</v>
      </c>
      <c r="O233" s="33">
        <v>0</v>
      </c>
      <c r="P233" s="24">
        <f>O233/M233*100</f>
        <v>0</v>
      </c>
    </row>
    <row r="234" spans="1:16" ht="20.25" customHeight="1">
      <c r="A234" s="10" t="s">
        <v>414</v>
      </c>
      <c r="B234" s="11" t="s">
        <v>37</v>
      </c>
      <c r="C234" s="11">
        <v>9</v>
      </c>
      <c r="D234" s="11">
        <v>91</v>
      </c>
      <c r="E234" s="11" t="s">
        <v>26</v>
      </c>
      <c r="F234" s="11" t="s">
        <v>17</v>
      </c>
      <c r="G234" s="11" t="s">
        <v>15</v>
      </c>
      <c r="H234" s="11">
        <v>11270</v>
      </c>
      <c r="I234" s="11" t="s">
        <v>71</v>
      </c>
      <c r="J234" s="57" t="s">
        <v>58</v>
      </c>
      <c r="K234" s="92">
        <v>1.439</v>
      </c>
      <c r="L234" s="42">
        <v>2017</v>
      </c>
      <c r="M234" s="33">
        <v>89616.35</v>
      </c>
      <c r="N234" s="33">
        <v>89616.35</v>
      </c>
      <c r="O234" s="33">
        <v>0</v>
      </c>
      <c r="P234" s="24">
        <f>O234/M234*100</f>
        <v>0</v>
      </c>
    </row>
    <row r="235" spans="1:16" ht="30.75" customHeight="1">
      <c r="A235" s="10" t="s">
        <v>415</v>
      </c>
      <c r="B235" s="11" t="s">
        <v>37</v>
      </c>
      <c r="C235" s="11">
        <v>9</v>
      </c>
      <c r="D235" s="11">
        <v>91</v>
      </c>
      <c r="E235" s="11" t="s">
        <v>26</v>
      </c>
      <c r="F235" s="11" t="s">
        <v>17</v>
      </c>
      <c r="G235" s="11" t="s">
        <v>15</v>
      </c>
      <c r="H235" s="11" t="s">
        <v>246</v>
      </c>
      <c r="I235" s="11" t="s">
        <v>71</v>
      </c>
      <c r="J235" s="57" t="s">
        <v>58</v>
      </c>
      <c r="K235" s="92">
        <v>1.238</v>
      </c>
      <c r="L235" s="42">
        <v>2017</v>
      </c>
      <c r="M235" s="33">
        <f>M237+M238</f>
        <v>1165949</v>
      </c>
      <c r="N235" s="33">
        <f>N237+N238</f>
        <v>607965.8</v>
      </c>
      <c r="O235" s="33">
        <f>O237+O238</f>
        <v>0</v>
      </c>
      <c r="P235" s="24">
        <f>O235/M235*100</f>
        <v>0</v>
      </c>
    </row>
    <row r="236" spans="1:16" ht="15.75">
      <c r="A236" s="78" t="s">
        <v>49</v>
      </c>
      <c r="B236" s="11"/>
      <c r="C236" s="11"/>
      <c r="D236" s="11"/>
      <c r="E236" s="11"/>
      <c r="F236" s="11"/>
      <c r="G236" s="11"/>
      <c r="H236" s="11"/>
      <c r="I236" s="11"/>
      <c r="J236" s="57"/>
      <c r="K236" s="92"/>
      <c r="L236" s="42"/>
      <c r="M236" s="33"/>
      <c r="N236" s="23"/>
      <c r="O236" s="23"/>
      <c r="P236" s="24"/>
    </row>
    <row r="237" spans="1:16" ht="15.75">
      <c r="A237" s="78" t="s">
        <v>345</v>
      </c>
      <c r="B237" s="11"/>
      <c r="C237" s="11"/>
      <c r="D237" s="11"/>
      <c r="E237" s="11"/>
      <c r="F237" s="11"/>
      <c r="G237" s="11"/>
      <c r="H237" s="11"/>
      <c r="I237" s="11"/>
      <c r="J237" s="57"/>
      <c r="K237" s="92"/>
      <c r="L237" s="42"/>
      <c r="M237" s="33">
        <v>615155</v>
      </c>
      <c r="N237" s="33">
        <v>320762.76</v>
      </c>
      <c r="O237" s="33"/>
      <c r="P237" s="24">
        <f>O237/M237</f>
        <v>0</v>
      </c>
    </row>
    <row r="238" spans="1:16" ht="15.75">
      <c r="A238" s="78" t="s">
        <v>346</v>
      </c>
      <c r="B238" s="11"/>
      <c r="C238" s="11"/>
      <c r="D238" s="11"/>
      <c r="E238" s="11"/>
      <c r="F238" s="11"/>
      <c r="G238" s="11"/>
      <c r="H238" s="11"/>
      <c r="I238" s="11"/>
      <c r="J238" s="57"/>
      <c r="K238" s="92"/>
      <c r="L238" s="42"/>
      <c r="M238" s="33">
        <v>550794</v>
      </c>
      <c r="N238" s="33">
        <v>287203.04</v>
      </c>
      <c r="O238" s="33"/>
      <c r="P238" s="24">
        <f>O238/M238</f>
        <v>0</v>
      </c>
    </row>
    <row r="239" spans="1:16" ht="15.75">
      <c r="A239" s="39" t="s">
        <v>64</v>
      </c>
      <c r="B239" s="11"/>
      <c r="C239" s="11"/>
      <c r="D239" s="11"/>
      <c r="E239" s="11"/>
      <c r="F239" s="11"/>
      <c r="G239" s="11"/>
      <c r="H239" s="11"/>
      <c r="I239" s="11"/>
      <c r="J239" s="57"/>
      <c r="K239" s="92"/>
      <c r="L239" s="42"/>
      <c r="M239" s="23">
        <f>M240+M244</f>
        <v>2506968.97</v>
      </c>
      <c r="N239" s="23">
        <f>N240+N244</f>
        <v>2472769.8200000003</v>
      </c>
      <c r="O239" s="23">
        <f>O240+O244</f>
        <v>2472769.8200000003</v>
      </c>
      <c r="P239" s="23">
        <f>O239/M239*100</f>
        <v>98.63583672517495</v>
      </c>
    </row>
    <row r="240" spans="1:16" ht="15.75" customHeight="1">
      <c r="A240" s="61" t="s">
        <v>141</v>
      </c>
      <c r="B240" s="11" t="s">
        <v>37</v>
      </c>
      <c r="C240" s="11">
        <v>9</v>
      </c>
      <c r="D240" s="11">
        <v>91</v>
      </c>
      <c r="E240" s="11" t="s">
        <v>26</v>
      </c>
      <c r="F240" s="11" t="s">
        <v>17</v>
      </c>
      <c r="G240" s="11" t="s">
        <v>15</v>
      </c>
      <c r="H240" s="11" t="s">
        <v>246</v>
      </c>
      <c r="I240" s="11" t="s">
        <v>71</v>
      </c>
      <c r="J240" s="57" t="s">
        <v>58</v>
      </c>
      <c r="K240" s="92">
        <v>1.076</v>
      </c>
      <c r="L240" s="42">
        <v>2017</v>
      </c>
      <c r="M240" s="33">
        <f>M242+M243</f>
        <v>1124592.62</v>
      </c>
      <c r="N240" s="33">
        <f>N242+N243</f>
        <v>1110343.47</v>
      </c>
      <c r="O240" s="33">
        <f>O242+O243</f>
        <v>1110343.47</v>
      </c>
      <c r="P240" s="24">
        <f>O240/M240*100</f>
        <v>98.73295007039971</v>
      </c>
    </row>
    <row r="241" spans="1:16" ht="15.75">
      <c r="A241" s="78" t="s">
        <v>49</v>
      </c>
      <c r="B241" s="11"/>
      <c r="C241" s="11"/>
      <c r="D241" s="11"/>
      <c r="E241" s="11"/>
      <c r="F241" s="11"/>
      <c r="G241" s="11"/>
      <c r="H241" s="11"/>
      <c r="I241" s="11"/>
      <c r="J241" s="57"/>
      <c r="K241" s="92"/>
      <c r="L241" s="42"/>
      <c r="M241" s="33"/>
      <c r="N241" s="31"/>
      <c r="O241" s="31"/>
      <c r="P241" s="25"/>
    </row>
    <row r="242" spans="1:16" ht="15.75">
      <c r="A242" s="78" t="s">
        <v>345</v>
      </c>
      <c r="B242" s="11"/>
      <c r="C242" s="11"/>
      <c r="D242" s="11"/>
      <c r="E242" s="11"/>
      <c r="F242" s="11"/>
      <c r="G242" s="11"/>
      <c r="H242" s="11"/>
      <c r="I242" s="11"/>
      <c r="J242" s="57"/>
      <c r="K242" s="92"/>
      <c r="L242" s="42"/>
      <c r="M242" s="33">
        <v>593279.23</v>
      </c>
      <c r="N242" s="33">
        <v>585817.21</v>
      </c>
      <c r="O242" s="33">
        <v>585817.21</v>
      </c>
      <c r="P242" s="24">
        <f>O242/M242*100</f>
        <v>98.74224149057098</v>
      </c>
    </row>
    <row r="243" spans="1:16" ht="15.75">
      <c r="A243" s="78" t="s">
        <v>346</v>
      </c>
      <c r="B243" s="11"/>
      <c r="C243" s="11"/>
      <c r="D243" s="11"/>
      <c r="E243" s="11"/>
      <c r="F243" s="11"/>
      <c r="G243" s="11"/>
      <c r="H243" s="11"/>
      <c r="I243" s="11"/>
      <c r="J243" s="57"/>
      <c r="K243" s="92"/>
      <c r="L243" s="42"/>
      <c r="M243" s="33">
        <v>531313.39</v>
      </c>
      <c r="N243" s="24">
        <v>524526.26</v>
      </c>
      <c r="O243" s="24">
        <v>524526.26</v>
      </c>
      <c r="P243" s="24">
        <f>O243/M243*100</f>
        <v>98.72257501359037</v>
      </c>
    </row>
    <row r="244" spans="1:16" ht="21.75" customHeight="1">
      <c r="A244" s="61" t="s">
        <v>142</v>
      </c>
      <c r="B244" s="11" t="s">
        <v>37</v>
      </c>
      <c r="C244" s="11">
        <v>9</v>
      </c>
      <c r="D244" s="11">
        <v>91</v>
      </c>
      <c r="E244" s="11" t="s">
        <v>26</v>
      </c>
      <c r="F244" s="11" t="s">
        <v>17</v>
      </c>
      <c r="G244" s="11" t="s">
        <v>15</v>
      </c>
      <c r="H244" s="11" t="s">
        <v>246</v>
      </c>
      <c r="I244" s="11" t="s">
        <v>71</v>
      </c>
      <c r="J244" s="57" t="s">
        <v>58</v>
      </c>
      <c r="K244" s="92">
        <v>1.508</v>
      </c>
      <c r="L244" s="42">
        <v>2017</v>
      </c>
      <c r="M244" s="33">
        <f>M246+M247</f>
        <v>1382376.35</v>
      </c>
      <c r="N244" s="33">
        <f>N246+N247</f>
        <v>1362426.35</v>
      </c>
      <c r="O244" s="33">
        <f>O246+O247</f>
        <v>1362426.35</v>
      </c>
      <c r="P244" s="24">
        <f>O244/M244*100</f>
        <v>98.55683294929055</v>
      </c>
    </row>
    <row r="245" spans="1:16" ht="15.75">
      <c r="A245" s="78" t="s">
        <v>49</v>
      </c>
      <c r="B245" s="11"/>
      <c r="C245" s="11"/>
      <c r="D245" s="11"/>
      <c r="E245" s="11"/>
      <c r="F245" s="11"/>
      <c r="G245" s="11"/>
      <c r="H245" s="11"/>
      <c r="I245" s="11"/>
      <c r="J245" s="57"/>
      <c r="K245" s="92"/>
      <c r="L245" s="42"/>
      <c r="M245" s="33"/>
      <c r="N245" s="25"/>
      <c r="O245" s="25"/>
      <c r="P245" s="24"/>
    </row>
    <row r="246" spans="1:16" ht="18.75" customHeight="1">
      <c r="A246" s="78" t="s">
        <v>345</v>
      </c>
      <c r="B246" s="11"/>
      <c r="C246" s="11"/>
      <c r="D246" s="11"/>
      <c r="E246" s="11"/>
      <c r="F246" s="11"/>
      <c r="G246" s="11"/>
      <c r="H246" s="11"/>
      <c r="I246" s="11"/>
      <c r="J246" s="57"/>
      <c r="K246" s="92"/>
      <c r="L246" s="42"/>
      <c r="M246" s="33">
        <v>729267.63</v>
      </c>
      <c r="N246" s="24">
        <v>718816.14</v>
      </c>
      <c r="O246" s="24">
        <v>718816.14</v>
      </c>
      <c r="P246" s="24">
        <f>O246/M246*100</f>
        <v>98.56685123950997</v>
      </c>
    </row>
    <row r="247" spans="1:16" ht="15.75" customHeight="1">
      <c r="A247" s="78" t="s">
        <v>346</v>
      </c>
      <c r="B247" s="11"/>
      <c r="C247" s="11"/>
      <c r="D247" s="11"/>
      <c r="E247" s="11"/>
      <c r="F247" s="11"/>
      <c r="G247" s="11"/>
      <c r="H247" s="11"/>
      <c r="I247" s="11"/>
      <c r="J247" s="57"/>
      <c r="K247" s="92"/>
      <c r="L247" s="42"/>
      <c r="M247" s="33">
        <v>653108.72</v>
      </c>
      <c r="N247" s="24">
        <v>643610.21</v>
      </c>
      <c r="O247" s="24">
        <v>643610.21</v>
      </c>
      <c r="P247" s="24">
        <f>O247/M247*100</f>
        <v>98.54564642774942</v>
      </c>
    </row>
    <row r="248" spans="1:16" ht="17.25" customHeight="1">
      <c r="A248" s="39" t="s">
        <v>80</v>
      </c>
      <c r="B248" s="11"/>
      <c r="C248" s="11"/>
      <c r="D248" s="11"/>
      <c r="E248" s="11"/>
      <c r="F248" s="11"/>
      <c r="G248" s="11"/>
      <c r="H248" s="11"/>
      <c r="I248" s="11"/>
      <c r="J248" s="57"/>
      <c r="K248" s="92"/>
      <c r="L248" s="42"/>
      <c r="M248" s="23">
        <f>M249</f>
        <v>1868369.65</v>
      </c>
      <c r="N248" s="23">
        <f>N249</f>
        <v>1814219.65</v>
      </c>
      <c r="O248" s="23">
        <f>O249</f>
        <v>1814219.65</v>
      </c>
      <c r="P248" s="25">
        <f>O248/M248*100</f>
        <v>97.10175125141858</v>
      </c>
    </row>
    <row r="249" spans="1:16" ht="21" customHeight="1">
      <c r="A249" s="61" t="s">
        <v>143</v>
      </c>
      <c r="B249" s="11" t="s">
        <v>37</v>
      </c>
      <c r="C249" s="11">
        <v>9</v>
      </c>
      <c r="D249" s="11">
        <v>91</v>
      </c>
      <c r="E249" s="11" t="s">
        <v>26</v>
      </c>
      <c r="F249" s="11" t="s">
        <v>17</v>
      </c>
      <c r="G249" s="11" t="s">
        <v>15</v>
      </c>
      <c r="H249" s="11" t="s">
        <v>246</v>
      </c>
      <c r="I249" s="11" t="s">
        <v>71</v>
      </c>
      <c r="J249" s="57" t="s">
        <v>58</v>
      </c>
      <c r="K249" s="92">
        <v>2.662</v>
      </c>
      <c r="L249" s="42">
        <v>2017</v>
      </c>
      <c r="M249" s="33">
        <f>M251+M252</f>
        <v>1868369.65</v>
      </c>
      <c r="N249" s="33">
        <f>N251+N252</f>
        <v>1814219.65</v>
      </c>
      <c r="O249" s="33">
        <f>O251+O252</f>
        <v>1814219.65</v>
      </c>
      <c r="P249" s="24">
        <f>O249/M249*100</f>
        <v>97.10175125141858</v>
      </c>
    </row>
    <row r="250" spans="1:16" ht="19.5" customHeight="1">
      <c r="A250" s="78" t="s">
        <v>49</v>
      </c>
      <c r="B250" s="11"/>
      <c r="C250" s="11"/>
      <c r="D250" s="11"/>
      <c r="E250" s="11"/>
      <c r="F250" s="11"/>
      <c r="G250" s="11"/>
      <c r="H250" s="11"/>
      <c r="I250" s="11"/>
      <c r="J250" s="57"/>
      <c r="K250" s="92"/>
      <c r="L250" s="42"/>
      <c r="M250" s="33"/>
      <c r="N250" s="24"/>
      <c r="O250" s="24"/>
      <c r="P250" s="24"/>
    </row>
    <row r="251" spans="1:16" ht="19.5" customHeight="1">
      <c r="A251" s="78" t="s">
        <v>345</v>
      </c>
      <c r="B251" s="11"/>
      <c r="C251" s="11"/>
      <c r="D251" s="11"/>
      <c r="E251" s="11"/>
      <c r="F251" s="11"/>
      <c r="G251" s="11"/>
      <c r="H251" s="11"/>
      <c r="I251" s="11"/>
      <c r="J251" s="57"/>
      <c r="K251" s="92"/>
      <c r="L251" s="42"/>
      <c r="M251" s="33">
        <v>985651.38</v>
      </c>
      <c r="N251" s="24">
        <v>957182.29</v>
      </c>
      <c r="O251" s="24">
        <v>957182.29</v>
      </c>
      <c r="P251" s="24">
        <f>O251/M251*100</f>
        <v>97.11164712212953</v>
      </c>
    </row>
    <row r="252" spans="1:16" ht="18.75" customHeight="1">
      <c r="A252" s="78" t="s">
        <v>346</v>
      </c>
      <c r="B252" s="11"/>
      <c r="C252" s="11"/>
      <c r="D252" s="11"/>
      <c r="E252" s="11"/>
      <c r="F252" s="11"/>
      <c r="G252" s="11"/>
      <c r="H252" s="11"/>
      <c r="I252" s="11"/>
      <c r="J252" s="57"/>
      <c r="K252" s="92"/>
      <c r="L252" s="42"/>
      <c r="M252" s="33">
        <v>882718.27</v>
      </c>
      <c r="N252" s="24">
        <v>857037.36</v>
      </c>
      <c r="O252" s="24">
        <v>857037.36</v>
      </c>
      <c r="P252" s="24">
        <f>O252/M252*100</f>
        <v>97.09070143070676</v>
      </c>
    </row>
    <row r="253" spans="1:16" ht="19.5" customHeight="1">
      <c r="A253" s="39" t="s">
        <v>96</v>
      </c>
      <c r="B253" s="11"/>
      <c r="C253" s="11"/>
      <c r="D253" s="11"/>
      <c r="E253" s="11"/>
      <c r="F253" s="11"/>
      <c r="G253" s="11"/>
      <c r="H253" s="11"/>
      <c r="I253" s="11"/>
      <c r="J253" s="57"/>
      <c r="K253" s="92"/>
      <c r="L253" s="42"/>
      <c r="M253" s="23">
        <f>M254+M255</f>
        <v>13127897.08</v>
      </c>
      <c r="N253" s="23">
        <f>N254+N255</f>
        <v>7824497.25</v>
      </c>
      <c r="O253" s="23">
        <f>O254+O255</f>
        <v>7802647.25</v>
      </c>
      <c r="P253" s="25">
        <f>O253/M253*100</f>
        <v>59.435621733256305</v>
      </c>
    </row>
    <row r="254" spans="1:16" ht="17.25" customHeight="1">
      <c r="A254" s="61" t="s">
        <v>144</v>
      </c>
      <c r="B254" s="11" t="s">
        <v>37</v>
      </c>
      <c r="C254" s="11">
        <v>9</v>
      </c>
      <c r="D254" s="11">
        <v>91</v>
      </c>
      <c r="E254" s="11" t="s">
        <v>26</v>
      </c>
      <c r="F254" s="11" t="s">
        <v>17</v>
      </c>
      <c r="G254" s="11" t="s">
        <v>15</v>
      </c>
      <c r="H254" s="11">
        <v>11270</v>
      </c>
      <c r="I254" s="11" t="s">
        <v>71</v>
      </c>
      <c r="J254" s="57" t="s">
        <v>58</v>
      </c>
      <c r="K254" s="92">
        <v>7.506</v>
      </c>
      <c r="L254" s="42">
        <v>2017</v>
      </c>
      <c r="M254" s="33">
        <f>11567010-415480.32</f>
        <v>11151529.68</v>
      </c>
      <c r="N254" s="33">
        <v>7824497.25</v>
      </c>
      <c r="O254" s="33">
        <v>7802647.25</v>
      </c>
      <c r="P254" s="25">
        <f aca="true" t="shared" si="26" ref="P254:P279">O254/M254*100</f>
        <v>69.96929994271423</v>
      </c>
    </row>
    <row r="255" spans="1:16" ht="17.25" customHeight="1">
      <c r="A255" s="61" t="s">
        <v>427</v>
      </c>
      <c r="B255" s="11" t="s">
        <v>37</v>
      </c>
      <c r="C255" s="11">
        <v>9</v>
      </c>
      <c r="D255" s="11">
        <v>91</v>
      </c>
      <c r="E255" s="11" t="s">
        <v>26</v>
      </c>
      <c r="F255" s="11" t="s">
        <v>17</v>
      </c>
      <c r="G255" s="11" t="s">
        <v>15</v>
      </c>
      <c r="H255" s="11">
        <v>11270</v>
      </c>
      <c r="I255" s="11" t="s">
        <v>71</v>
      </c>
      <c r="J255" s="57" t="s">
        <v>58</v>
      </c>
      <c r="K255" s="92">
        <v>1.443</v>
      </c>
      <c r="L255" s="42">
        <v>2017</v>
      </c>
      <c r="M255" s="33">
        <f>M257+M258</f>
        <v>1976367.4</v>
      </c>
      <c r="N255" s="33">
        <f>N257+N258</f>
        <v>0</v>
      </c>
      <c r="O255" s="33">
        <f>O257+O258</f>
        <v>0</v>
      </c>
      <c r="P255" s="25">
        <f>O255/M255</f>
        <v>0</v>
      </c>
    </row>
    <row r="256" spans="1:16" ht="17.25" customHeight="1">
      <c r="A256" s="78" t="s">
        <v>49</v>
      </c>
      <c r="B256" s="11"/>
      <c r="C256" s="11"/>
      <c r="D256" s="11"/>
      <c r="E256" s="11"/>
      <c r="F256" s="11"/>
      <c r="G256" s="11"/>
      <c r="H256" s="11"/>
      <c r="I256" s="11"/>
      <c r="J256" s="57"/>
      <c r="K256" s="92"/>
      <c r="L256" s="42"/>
      <c r="M256" s="33"/>
      <c r="N256" s="33"/>
      <c r="O256" s="33"/>
      <c r="P256" s="25"/>
    </row>
    <row r="257" spans="1:16" ht="17.25" customHeight="1">
      <c r="A257" s="78" t="s">
        <v>345</v>
      </c>
      <c r="B257" s="11"/>
      <c r="C257" s="11"/>
      <c r="D257" s="11"/>
      <c r="E257" s="11"/>
      <c r="F257" s="11"/>
      <c r="G257" s="11"/>
      <c r="H257" s="11"/>
      <c r="I257" s="11"/>
      <c r="J257" s="57"/>
      <c r="K257" s="92"/>
      <c r="L257" s="42"/>
      <c r="M257" s="33">
        <v>1042731.44</v>
      </c>
      <c r="N257" s="33">
        <v>0</v>
      </c>
      <c r="O257" s="33">
        <v>0</v>
      </c>
      <c r="P257" s="25">
        <f>O257/M257</f>
        <v>0</v>
      </c>
    </row>
    <row r="258" spans="1:16" ht="17.25" customHeight="1">
      <c r="A258" s="78" t="s">
        <v>346</v>
      </c>
      <c r="B258" s="11"/>
      <c r="C258" s="11"/>
      <c r="D258" s="11"/>
      <c r="E258" s="11"/>
      <c r="F258" s="11"/>
      <c r="G258" s="11"/>
      <c r="H258" s="11"/>
      <c r="I258" s="11"/>
      <c r="J258" s="57"/>
      <c r="K258" s="92"/>
      <c r="L258" s="42"/>
      <c r="M258" s="33">
        <v>933635.96</v>
      </c>
      <c r="N258" s="33">
        <v>0</v>
      </c>
      <c r="O258" s="33">
        <v>0</v>
      </c>
      <c r="P258" s="25">
        <f>O258/M258</f>
        <v>0</v>
      </c>
    </row>
    <row r="259" spans="1:16" ht="18.75" customHeight="1">
      <c r="A259" s="39" t="s">
        <v>81</v>
      </c>
      <c r="B259" s="11"/>
      <c r="C259" s="11"/>
      <c r="D259" s="11"/>
      <c r="E259" s="11"/>
      <c r="F259" s="11"/>
      <c r="G259" s="11"/>
      <c r="H259" s="11"/>
      <c r="I259" s="11"/>
      <c r="J259" s="57"/>
      <c r="K259" s="92"/>
      <c r="L259" s="42"/>
      <c r="M259" s="23">
        <f>M260</f>
        <v>883747.4099999999</v>
      </c>
      <c r="N259" s="23">
        <f>N260</f>
        <v>857148.04</v>
      </c>
      <c r="O259" s="23">
        <f>O260</f>
        <v>857148.04</v>
      </c>
      <c r="P259" s="25">
        <f t="shared" si="26"/>
        <v>96.99016147611681</v>
      </c>
    </row>
    <row r="260" spans="1:16" ht="19.5" customHeight="1">
      <c r="A260" s="61" t="s">
        <v>299</v>
      </c>
      <c r="B260" s="11" t="s">
        <v>37</v>
      </c>
      <c r="C260" s="11">
        <v>9</v>
      </c>
      <c r="D260" s="11">
        <v>91</v>
      </c>
      <c r="E260" s="11" t="s">
        <v>26</v>
      </c>
      <c r="F260" s="11" t="s">
        <v>17</v>
      </c>
      <c r="G260" s="11" t="s">
        <v>15</v>
      </c>
      <c r="H260" s="11" t="s">
        <v>246</v>
      </c>
      <c r="I260" s="11" t="s">
        <v>71</v>
      </c>
      <c r="J260" s="57" t="s">
        <v>58</v>
      </c>
      <c r="K260" s="92">
        <v>2</v>
      </c>
      <c r="L260" s="42">
        <v>2017</v>
      </c>
      <c r="M260" s="33">
        <f>M262+M263</f>
        <v>883747.4099999999</v>
      </c>
      <c r="N260" s="33">
        <f>N262+N263</f>
        <v>857148.04</v>
      </c>
      <c r="O260" s="33">
        <f>O262+O263</f>
        <v>857148.04</v>
      </c>
      <c r="P260" s="24">
        <f t="shared" si="26"/>
        <v>96.99016147611681</v>
      </c>
    </row>
    <row r="261" spans="1:16" ht="16.5" customHeight="1">
      <c r="A261" s="78" t="s">
        <v>49</v>
      </c>
      <c r="B261" s="11"/>
      <c r="C261" s="11"/>
      <c r="D261" s="11"/>
      <c r="E261" s="11"/>
      <c r="F261" s="11"/>
      <c r="G261" s="11"/>
      <c r="H261" s="11"/>
      <c r="I261" s="11"/>
      <c r="J261" s="57"/>
      <c r="K261" s="92"/>
      <c r="L261" s="42"/>
      <c r="M261" s="33"/>
      <c r="N261" s="32"/>
      <c r="O261" s="32"/>
      <c r="P261" s="25"/>
    </row>
    <row r="262" spans="1:16" ht="18.75" customHeight="1">
      <c r="A262" s="78" t="s">
        <v>345</v>
      </c>
      <c r="B262" s="11"/>
      <c r="C262" s="11"/>
      <c r="D262" s="11"/>
      <c r="E262" s="11"/>
      <c r="F262" s="11"/>
      <c r="G262" s="11"/>
      <c r="H262" s="11"/>
      <c r="I262" s="11"/>
      <c r="J262" s="57"/>
      <c r="K262" s="92"/>
      <c r="L262" s="42"/>
      <c r="M262" s="33">
        <v>466215.35</v>
      </c>
      <c r="N262" s="32">
        <v>452231.31</v>
      </c>
      <c r="O262" s="32">
        <v>452231.31</v>
      </c>
      <c r="P262" s="24">
        <f t="shared" si="26"/>
        <v>97.00051918067477</v>
      </c>
    </row>
    <row r="263" spans="1:16" ht="21.75" customHeight="1">
      <c r="A263" s="78" t="s">
        <v>346</v>
      </c>
      <c r="B263" s="11"/>
      <c r="C263" s="11"/>
      <c r="D263" s="11"/>
      <c r="E263" s="11"/>
      <c r="F263" s="11"/>
      <c r="G263" s="11"/>
      <c r="H263" s="11"/>
      <c r="I263" s="11"/>
      <c r="J263" s="57"/>
      <c r="K263" s="92"/>
      <c r="L263" s="42"/>
      <c r="M263" s="33">
        <v>417532.06</v>
      </c>
      <c r="N263" s="32">
        <v>404916.73</v>
      </c>
      <c r="O263" s="32">
        <v>404916.73</v>
      </c>
      <c r="P263" s="24">
        <f t="shared" si="26"/>
        <v>96.97859608672924</v>
      </c>
    </row>
    <row r="264" spans="1:16" ht="20.25" customHeight="1">
      <c r="A264" s="45" t="s">
        <v>57</v>
      </c>
      <c r="B264" s="11"/>
      <c r="C264" s="11"/>
      <c r="D264" s="11"/>
      <c r="E264" s="11"/>
      <c r="F264" s="11"/>
      <c r="G264" s="11"/>
      <c r="H264" s="11"/>
      <c r="I264" s="11"/>
      <c r="J264" s="12"/>
      <c r="K264" s="92"/>
      <c r="L264" s="42"/>
      <c r="M264" s="31">
        <f>M265</f>
        <v>10197739.58</v>
      </c>
      <c r="N264" s="31">
        <f>N265</f>
        <v>8803109.18</v>
      </c>
      <c r="O264" s="31">
        <f>O265</f>
        <v>8627800.25</v>
      </c>
      <c r="P264" s="25">
        <f t="shared" si="26"/>
        <v>84.60502626406547</v>
      </c>
    </row>
    <row r="265" spans="1:16" s="35" customFormat="1" ht="18" customHeight="1">
      <c r="A265" s="43" t="s">
        <v>145</v>
      </c>
      <c r="B265" s="67" t="s">
        <v>37</v>
      </c>
      <c r="C265" s="67">
        <v>9</v>
      </c>
      <c r="D265" s="67">
        <v>91</v>
      </c>
      <c r="E265" s="67" t="s">
        <v>26</v>
      </c>
      <c r="F265" s="67" t="s">
        <v>17</v>
      </c>
      <c r="G265" s="67" t="s">
        <v>15</v>
      </c>
      <c r="H265" s="67">
        <v>11270</v>
      </c>
      <c r="I265" s="67" t="s">
        <v>71</v>
      </c>
      <c r="J265" s="12" t="s">
        <v>58</v>
      </c>
      <c r="K265" s="92">
        <v>7.6</v>
      </c>
      <c r="L265" s="62">
        <v>2017</v>
      </c>
      <c r="M265" s="33">
        <f>10458265-260525.42</f>
        <v>10197739.58</v>
      </c>
      <c r="N265" s="32">
        <v>8803109.18</v>
      </c>
      <c r="O265" s="32">
        <v>8627800.25</v>
      </c>
      <c r="P265" s="33">
        <f t="shared" si="26"/>
        <v>84.60502626406547</v>
      </c>
    </row>
    <row r="266" spans="1:16" ht="19.5" customHeight="1">
      <c r="A266" s="94" t="s">
        <v>106</v>
      </c>
      <c r="B266" s="11"/>
      <c r="C266" s="11"/>
      <c r="D266" s="11"/>
      <c r="E266" s="11"/>
      <c r="F266" s="74"/>
      <c r="G266" s="74"/>
      <c r="H266" s="11"/>
      <c r="I266" s="11"/>
      <c r="J266" s="12"/>
      <c r="K266" s="92"/>
      <c r="L266" s="12"/>
      <c r="M266" s="25">
        <f>M267</f>
        <v>8187547.7</v>
      </c>
      <c r="N266" s="25">
        <f>N267</f>
        <v>1250318.22</v>
      </c>
      <c r="O266" s="25">
        <f>O267</f>
        <v>1250318.22</v>
      </c>
      <c r="P266" s="25">
        <f t="shared" si="26"/>
        <v>15.270973261016849</v>
      </c>
    </row>
    <row r="267" spans="1:16" ht="21.75" customHeight="1">
      <c r="A267" s="77" t="s">
        <v>146</v>
      </c>
      <c r="B267" s="11" t="s">
        <v>37</v>
      </c>
      <c r="C267" s="11">
        <v>9</v>
      </c>
      <c r="D267" s="11">
        <v>91</v>
      </c>
      <c r="E267" s="11" t="s">
        <v>26</v>
      </c>
      <c r="F267" s="11" t="s">
        <v>17</v>
      </c>
      <c r="G267" s="11" t="s">
        <v>15</v>
      </c>
      <c r="H267" s="11">
        <v>11270</v>
      </c>
      <c r="I267" s="11" t="s">
        <v>71</v>
      </c>
      <c r="J267" s="12" t="s">
        <v>58</v>
      </c>
      <c r="K267" s="92">
        <v>5.17</v>
      </c>
      <c r="L267" s="12">
        <v>2017</v>
      </c>
      <c r="M267" s="24">
        <f>3586404+4764291-163147.3</f>
        <v>8187547.7</v>
      </c>
      <c r="N267" s="32">
        <v>1250318.22</v>
      </c>
      <c r="O267" s="32">
        <v>1250318.22</v>
      </c>
      <c r="P267" s="24">
        <f t="shared" si="26"/>
        <v>15.270973261016849</v>
      </c>
    </row>
    <row r="268" spans="1:16" ht="18.75" customHeight="1">
      <c r="A268" s="14" t="s">
        <v>89</v>
      </c>
      <c r="B268" s="11"/>
      <c r="C268" s="11"/>
      <c r="D268" s="11"/>
      <c r="E268" s="11"/>
      <c r="F268" s="74"/>
      <c r="G268" s="74"/>
      <c r="H268" s="11"/>
      <c r="I268" s="11"/>
      <c r="J268" s="12"/>
      <c r="K268" s="92"/>
      <c r="L268" s="12"/>
      <c r="M268" s="25">
        <f>M269+M273</f>
        <v>3548194.98</v>
      </c>
      <c r="N268" s="25">
        <f>N269+N273</f>
        <v>3488346.25</v>
      </c>
      <c r="O268" s="25">
        <f>O269+O273</f>
        <v>3488346.25</v>
      </c>
      <c r="P268" s="25">
        <f t="shared" si="26"/>
        <v>98.31326264939364</v>
      </c>
    </row>
    <row r="269" spans="1:16" ht="18" customHeight="1">
      <c r="A269" s="93" t="s">
        <v>373</v>
      </c>
      <c r="B269" s="11" t="s">
        <v>37</v>
      </c>
      <c r="C269" s="11">
        <v>9</v>
      </c>
      <c r="D269" s="11">
        <v>91</v>
      </c>
      <c r="E269" s="11" t="s">
        <v>26</v>
      </c>
      <c r="F269" s="74" t="s">
        <v>17</v>
      </c>
      <c r="G269" s="74" t="s">
        <v>15</v>
      </c>
      <c r="H269" s="11" t="s">
        <v>246</v>
      </c>
      <c r="I269" s="11" t="s">
        <v>71</v>
      </c>
      <c r="J269" s="12" t="s">
        <v>58</v>
      </c>
      <c r="K269" s="92">
        <v>1.389</v>
      </c>
      <c r="L269" s="12">
        <v>2017</v>
      </c>
      <c r="M269" s="24">
        <f>M271+M272</f>
        <v>553914.65</v>
      </c>
      <c r="N269" s="24">
        <f>N271+N272</f>
        <v>532065</v>
      </c>
      <c r="O269" s="24">
        <f>O271+O272</f>
        <v>532065</v>
      </c>
      <c r="P269" s="24">
        <f t="shared" si="26"/>
        <v>96.05541214697968</v>
      </c>
    </row>
    <row r="270" spans="1:16" ht="19.5" customHeight="1">
      <c r="A270" s="78" t="s">
        <v>49</v>
      </c>
      <c r="B270" s="11"/>
      <c r="C270" s="11"/>
      <c r="D270" s="11"/>
      <c r="E270" s="11"/>
      <c r="F270" s="74"/>
      <c r="G270" s="74"/>
      <c r="H270" s="11"/>
      <c r="I270" s="11"/>
      <c r="J270" s="12"/>
      <c r="K270" s="92"/>
      <c r="L270" s="12"/>
      <c r="M270" s="24"/>
      <c r="N270" s="32"/>
      <c r="O270" s="32"/>
      <c r="P270" s="25"/>
    </row>
    <row r="271" spans="1:16" ht="18" customHeight="1">
      <c r="A271" s="78" t="s">
        <v>345</v>
      </c>
      <c r="B271" s="11"/>
      <c r="C271" s="11"/>
      <c r="D271" s="11"/>
      <c r="E271" s="11"/>
      <c r="F271" s="74"/>
      <c r="G271" s="74"/>
      <c r="H271" s="11"/>
      <c r="I271" s="11"/>
      <c r="J271" s="12"/>
      <c r="K271" s="92"/>
      <c r="L271" s="12"/>
      <c r="M271" s="24">
        <v>292216.27</v>
      </c>
      <c r="N271" s="32">
        <v>280717.49</v>
      </c>
      <c r="O271" s="32">
        <v>280717.49</v>
      </c>
      <c r="P271" s="24">
        <f t="shared" si="26"/>
        <v>96.0649761219661</v>
      </c>
    </row>
    <row r="272" spans="1:16" ht="18.75" customHeight="1">
      <c r="A272" s="78" t="s">
        <v>346</v>
      </c>
      <c r="B272" s="11"/>
      <c r="C272" s="11"/>
      <c r="D272" s="11"/>
      <c r="E272" s="11"/>
      <c r="F272" s="74"/>
      <c r="G272" s="74"/>
      <c r="H272" s="11"/>
      <c r="I272" s="11"/>
      <c r="J272" s="12"/>
      <c r="K272" s="92"/>
      <c r="L272" s="12"/>
      <c r="M272" s="24">
        <v>261698.38</v>
      </c>
      <c r="N272" s="32">
        <v>251347.51</v>
      </c>
      <c r="O272" s="32">
        <v>251347.51</v>
      </c>
      <c r="P272" s="24">
        <f t="shared" si="26"/>
        <v>96.04473287148357</v>
      </c>
    </row>
    <row r="273" spans="1:16" ht="20.25" customHeight="1">
      <c r="A273" s="77" t="s">
        <v>300</v>
      </c>
      <c r="B273" s="11" t="s">
        <v>37</v>
      </c>
      <c r="C273" s="11">
        <v>9</v>
      </c>
      <c r="D273" s="11">
        <v>91</v>
      </c>
      <c r="E273" s="11" t="s">
        <v>26</v>
      </c>
      <c r="F273" s="74" t="s">
        <v>17</v>
      </c>
      <c r="G273" s="74" t="s">
        <v>15</v>
      </c>
      <c r="H273" s="11" t="s">
        <v>246</v>
      </c>
      <c r="I273" s="11" t="s">
        <v>71</v>
      </c>
      <c r="J273" s="12" t="s">
        <v>58</v>
      </c>
      <c r="K273" s="92">
        <v>1.414</v>
      </c>
      <c r="L273" s="12">
        <v>2017</v>
      </c>
      <c r="M273" s="24">
        <f>M275+M276</f>
        <v>2994280.33</v>
      </c>
      <c r="N273" s="24">
        <f>N275+N276</f>
        <v>2956281.25</v>
      </c>
      <c r="O273" s="24">
        <f>O275+O276</f>
        <v>2956281.25</v>
      </c>
      <c r="P273" s="24">
        <f t="shared" si="26"/>
        <v>98.73094447372601</v>
      </c>
    </row>
    <row r="274" spans="1:16" ht="17.25" customHeight="1">
      <c r="A274" s="78" t="s">
        <v>49</v>
      </c>
      <c r="B274" s="11"/>
      <c r="C274" s="11"/>
      <c r="D274" s="11"/>
      <c r="E274" s="11"/>
      <c r="F274" s="74"/>
      <c r="G274" s="74"/>
      <c r="H274" s="11"/>
      <c r="I274" s="11"/>
      <c r="J274" s="12"/>
      <c r="K274" s="92"/>
      <c r="L274" s="12"/>
      <c r="M274" s="24"/>
      <c r="N274" s="32"/>
      <c r="O274" s="32"/>
      <c r="P274" s="24"/>
    </row>
    <row r="275" spans="1:16" ht="18" customHeight="1">
      <c r="A275" s="78" t="s">
        <v>345</v>
      </c>
      <c r="B275" s="11"/>
      <c r="C275" s="11"/>
      <c r="D275" s="11"/>
      <c r="E275" s="11"/>
      <c r="F275" s="74"/>
      <c r="G275" s="74"/>
      <c r="H275" s="11"/>
      <c r="I275" s="11"/>
      <c r="J275" s="12"/>
      <c r="K275" s="92"/>
      <c r="L275" s="12"/>
      <c r="M275" s="24">
        <v>1579761.05</v>
      </c>
      <c r="N275" s="32">
        <v>1559733.99</v>
      </c>
      <c r="O275" s="32">
        <v>1559733.99</v>
      </c>
      <c r="P275" s="24">
        <f t="shared" si="26"/>
        <v>98.73227283328703</v>
      </c>
    </row>
    <row r="276" spans="1:16" ht="18.75" customHeight="1">
      <c r="A276" s="78" t="s">
        <v>346</v>
      </c>
      <c r="B276" s="11"/>
      <c r="C276" s="11"/>
      <c r="D276" s="11"/>
      <c r="E276" s="11"/>
      <c r="F276" s="74"/>
      <c r="G276" s="74"/>
      <c r="H276" s="11"/>
      <c r="I276" s="11"/>
      <c r="J276" s="12"/>
      <c r="K276" s="92"/>
      <c r="L276" s="12"/>
      <c r="M276" s="24">
        <v>1414519.28</v>
      </c>
      <c r="N276" s="32">
        <v>1396547.26</v>
      </c>
      <c r="O276" s="32">
        <v>1396547.26</v>
      </c>
      <c r="P276" s="24">
        <f t="shared" si="26"/>
        <v>98.72946093742885</v>
      </c>
    </row>
    <row r="277" spans="1:16" ht="17.25" customHeight="1">
      <c r="A277" s="128" t="s">
        <v>77</v>
      </c>
      <c r="B277" s="40" t="s">
        <v>37</v>
      </c>
      <c r="C277" s="40">
        <v>9</v>
      </c>
      <c r="D277" s="40">
        <v>92</v>
      </c>
      <c r="E277" s="40" t="s">
        <v>26</v>
      </c>
      <c r="F277" s="40" t="s">
        <v>17</v>
      </c>
      <c r="G277" s="40" t="s">
        <v>15</v>
      </c>
      <c r="H277" s="40" t="s">
        <v>246</v>
      </c>
      <c r="I277" s="40" t="s">
        <v>71</v>
      </c>
      <c r="J277" s="12"/>
      <c r="K277" s="12"/>
      <c r="L277" s="42"/>
      <c r="M277" s="31">
        <f>M280+M287+M292+M297+M302+M312+M323+M328+M333+M307+M318</f>
        <v>51076297</v>
      </c>
      <c r="N277" s="31">
        <f>N280+N287+N292+N297+N302+N312+N323+N328+N333+N307+N318</f>
        <v>26264549.56</v>
      </c>
      <c r="O277" s="31">
        <f>O280+O287+O292+O297+O302+O312+O323+O328+O333+O307+O318</f>
        <v>23659205.08</v>
      </c>
      <c r="P277" s="25">
        <f t="shared" si="26"/>
        <v>46.321300622086994</v>
      </c>
    </row>
    <row r="278" spans="1:16" ht="19.5" customHeight="1">
      <c r="A278" s="129"/>
      <c r="B278" s="40" t="s">
        <v>37</v>
      </c>
      <c r="C278" s="40">
        <v>9</v>
      </c>
      <c r="D278" s="40">
        <v>92</v>
      </c>
      <c r="E278" s="40" t="s">
        <v>26</v>
      </c>
      <c r="F278" s="40" t="s">
        <v>17</v>
      </c>
      <c r="G278" s="40" t="s">
        <v>15</v>
      </c>
      <c r="H278" s="40">
        <v>11270</v>
      </c>
      <c r="I278" s="40" t="s">
        <v>71</v>
      </c>
      <c r="J278" s="12"/>
      <c r="K278" s="12"/>
      <c r="L278" s="42"/>
      <c r="M278" s="31">
        <f>M285+M322+M317</f>
        <v>12230877.77</v>
      </c>
      <c r="N278" s="31">
        <f>N285+N322+N317</f>
        <v>1314402.56</v>
      </c>
      <c r="O278" s="31">
        <f>O285+O322+O317</f>
        <v>1314402.56</v>
      </c>
      <c r="P278" s="25">
        <f t="shared" si="26"/>
        <v>10.746592229250936</v>
      </c>
    </row>
    <row r="279" spans="1:16" ht="18.75" customHeight="1">
      <c r="A279" s="20" t="s">
        <v>56</v>
      </c>
      <c r="B279" s="40"/>
      <c r="C279" s="40"/>
      <c r="D279" s="40"/>
      <c r="E279" s="40"/>
      <c r="F279" s="40"/>
      <c r="G279" s="40"/>
      <c r="H279" s="40"/>
      <c r="I279" s="40"/>
      <c r="J279" s="12"/>
      <c r="K279" s="12"/>
      <c r="L279" s="42"/>
      <c r="M279" s="31">
        <f>M280</f>
        <v>6288999.75</v>
      </c>
      <c r="N279" s="31">
        <f>N280</f>
        <v>5621463.27</v>
      </c>
      <c r="O279" s="31">
        <f>O280</f>
        <v>4392701.2</v>
      </c>
      <c r="P279" s="25">
        <f t="shared" si="26"/>
        <v>69.84737437777765</v>
      </c>
    </row>
    <row r="280" spans="1:16" ht="48.75" customHeight="1">
      <c r="A280" s="91" t="s">
        <v>354</v>
      </c>
      <c r="B280" s="11" t="s">
        <v>37</v>
      </c>
      <c r="C280" s="11">
        <v>9</v>
      </c>
      <c r="D280" s="11">
        <v>92</v>
      </c>
      <c r="E280" s="11" t="s">
        <v>26</v>
      </c>
      <c r="F280" s="11" t="s">
        <v>17</v>
      </c>
      <c r="G280" s="11" t="s">
        <v>15</v>
      </c>
      <c r="H280" s="11" t="s">
        <v>246</v>
      </c>
      <c r="I280" s="11" t="s">
        <v>71</v>
      </c>
      <c r="J280" s="12" t="s">
        <v>58</v>
      </c>
      <c r="K280" s="92">
        <v>1.778</v>
      </c>
      <c r="L280" s="42">
        <v>2017</v>
      </c>
      <c r="M280" s="32">
        <f>M282+M283</f>
        <v>6288999.75</v>
      </c>
      <c r="N280" s="32">
        <f>N282+N283</f>
        <v>5621463.27</v>
      </c>
      <c r="O280" s="32">
        <f>O282+O283</f>
        <v>4392701.2</v>
      </c>
      <c r="P280" s="24">
        <f>O280/M280*100</f>
        <v>69.84737437777765</v>
      </c>
    </row>
    <row r="281" spans="1:16" ht="18" customHeight="1">
      <c r="A281" s="78" t="s">
        <v>49</v>
      </c>
      <c r="B281" s="11"/>
      <c r="C281" s="11"/>
      <c r="D281" s="11"/>
      <c r="E281" s="11"/>
      <c r="F281" s="11"/>
      <c r="G281" s="11"/>
      <c r="H281" s="11"/>
      <c r="I281" s="11"/>
      <c r="J281" s="12"/>
      <c r="K281" s="92"/>
      <c r="L281" s="42"/>
      <c r="M281" s="32"/>
      <c r="N281" s="32"/>
      <c r="O281" s="32"/>
      <c r="P281" s="24"/>
    </row>
    <row r="282" spans="1:16" ht="17.25" customHeight="1">
      <c r="A282" s="78" t="s">
        <v>345</v>
      </c>
      <c r="B282" s="11"/>
      <c r="C282" s="11"/>
      <c r="D282" s="11"/>
      <c r="E282" s="11"/>
      <c r="F282" s="11"/>
      <c r="G282" s="11"/>
      <c r="H282" s="11"/>
      <c r="I282" s="11"/>
      <c r="J282" s="12"/>
      <c r="K282" s="92"/>
      <c r="L282" s="42"/>
      <c r="M282" s="32">
        <f>5002848-1425979.24</f>
        <v>3576868.76</v>
      </c>
      <c r="N282" s="32">
        <v>3197488.31</v>
      </c>
      <c r="O282" s="32">
        <v>2498568.44</v>
      </c>
      <c r="P282" s="24">
        <f aca="true" t="shared" si="27" ref="P282:P344">O282/M282*100</f>
        <v>69.85351176261776</v>
      </c>
    </row>
    <row r="283" spans="1:16" ht="18" customHeight="1">
      <c r="A283" s="78" t="s">
        <v>346</v>
      </c>
      <c r="B283" s="11"/>
      <c r="C283" s="11"/>
      <c r="D283" s="11"/>
      <c r="E283" s="11"/>
      <c r="F283" s="11"/>
      <c r="G283" s="11"/>
      <c r="H283" s="11"/>
      <c r="I283" s="11"/>
      <c r="J283" s="12"/>
      <c r="K283" s="92"/>
      <c r="L283" s="42"/>
      <c r="M283" s="32">
        <f>3793368-1081237.01</f>
        <v>2712130.99</v>
      </c>
      <c r="N283" s="32">
        <v>2423974.96</v>
      </c>
      <c r="O283" s="32">
        <v>1894132.76</v>
      </c>
      <c r="P283" s="24">
        <f t="shared" si="27"/>
        <v>69.83928014479861</v>
      </c>
    </row>
    <row r="284" spans="1:16" ht="18.75" customHeight="1">
      <c r="A284" s="20" t="s">
        <v>97</v>
      </c>
      <c r="B284" s="11"/>
      <c r="C284" s="11"/>
      <c r="D284" s="11"/>
      <c r="E284" s="11"/>
      <c r="F284" s="11"/>
      <c r="G284" s="11"/>
      <c r="H284" s="11"/>
      <c r="I284" s="11"/>
      <c r="J284" s="12"/>
      <c r="K284" s="92"/>
      <c r="L284" s="42"/>
      <c r="M284" s="31">
        <f>M285</f>
        <v>10404368</v>
      </c>
      <c r="N284" s="31">
        <f>N285</f>
        <v>1314402.56</v>
      </c>
      <c r="O284" s="31">
        <f>O285</f>
        <v>1314402.56</v>
      </c>
      <c r="P284" s="25">
        <f t="shared" si="27"/>
        <v>12.63318021815453</v>
      </c>
    </row>
    <row r="285" spans="1:16" ht="33" customHeight="1">
      <c r="A285" s="91" t="s">
        <v>321</v>
      </c>
      <c r="B285" s="11" t="s">
        <v>37</v>
      </c>
      <c r="C285" s="11">
        <v>9</v>
      </c>
      <c r="D285" s="11">
        <v>92</v>
      </c>
      <c r="E285" s="11" t="s">
        <v>26</v>
      </c>
      <c r="F285" s="11" t="s">
        <v>17</v>
      </c>
      <c r="G285" s="11" t="s">
        <v>15</v>
      </c>
      <c r="H285" s="11">
        <v>11270</v>
      </c>
      <c r="I285" s="11" t="s">
        <v>71</v>
      </c>
      <c r="J285" s="12" t="s">
        <v>58</v>
      </c>
      <c r="K285" s="92">
        <v>5.486</v>
      </c>
      <c r="L285" s="42">
        <v>2017</v>
      </c>
      <c r="M285" s="32">
        <f>3798067+6783058-1819000+1819000-176757</f>
        <v>10404368</v>
      </c>
      <c r="N285" s="32">
        <v>1314402.56</v>
      </c>
      <c r="O285" s="32">
        <v>1314402.56</v>
      </c>
      <c r="P285" s="24">
        <f t="shared" si="27"/>
        <v>12.63318021815453</v>
      </c>
    </row>
    <row r="286" spans="1:16" ht="17.25" customHeight="1">
      <c r="A286" s="20" t="s">
        <v>72</v>
      </c>
      <c r="B286" s="11"/>
      <c r="C286" s="11"/>
      <c r="D286" s="11"/>
      <c r="E286" s="11"/>
      <c r="F286" s="11"/>
      <c r="G286" s="11"/>
      <c r="H286" s="11"/>
      <c r="I286" s="11"/>
      <c r="J286" s="12"/>
      <c r="K286" s="92"/>
      <c r="L286" s="42"/>
      <c r="M286" s="31">
        <f>M287</f>
        <v>6396544</v>
      </c>
      <c r="N286" s="31">
        <f>N287</f>
        <v>59475.17</v>
      </c>
      <c r="O286" s="31">
        <f>O287</f>
        <v>59475.17</v>
      </c>
      <c r="P286" s="25">
        <f t="shared" si="27"/>
        <v>0.9298016241270286</v>
      </c>
    </row>
    <row r="287" spans="1:16" ht="17.25" customHeight="1">
      <c r="A287" s="91" t="s">
        <v>147</v>
      </c>
      <c r="B287" s="11" t="s">
        <v>37</v>
      </c>
      <c r="C287" s="11">
        <v>9</v>
      </c>
      <c r="D287" s="11">
        <v>92</v>
      </c>
      <c r="E287" s="11" t="s">
        <v>26</v>
      </c>
      <c r="F287" s="11" t="s">
        <v>17</v>
      </c>
      <c r="G287" s="11" t="s">
        <v>15</v>
      </c>
      <c r="H287" s="11" t="s">
        <v>246</v>
      </c>
      <c r="I287" s="11" t="s">
        <v>71</v>
      </c>
      <c r="J287" s="12" t="s">
        <v>58</v>
      </c>
      <c r="K287" s="92">
        <v>4.025</v>
      </c>
      <c r="L287" s="42">
        <v>2017</v>
      </c>
      <c r="M287" s="32">
        <f>M289+M290</f>
        <v>6396544</v>
      </c>
      <c r="N287" s="32">
        <f>N289+N290</f>
        <v>59475.17</v>
      </c>
      <c r="O287" s="32">
        <f>O289+O290</f>
        <v>59475.17</v>
      </c>
      <c r="P287" s="24">
        <f t="shared" si="27"/>
        <v>0.9298016241270286</v>
      </c>
    </row>
    <row r="288" spans="1:16" ht="16.5" customHeight="1">
      <c r="A288" s="78" t="s">
        <v>49</v>
      </c>
      <c r="B288" s="11"/>
      <c r="C288" s="11"/>
      <c r="D288" s="11"/>
      <c r="E288" s="11"/>
      <c r="F288" s="11"/>
      <c r="G288" s="11"/>
      <c r="H288" s="11"/>
      <c r="I288" s="11"/>
      <c r="J288" s="12"/>
      <c r="K288" s="92"/>
      <c r="L288" s="42"/>
      <c r="M288" s="32"/>
      <c r="N288" s="32"/>
      <c r="O288" s="32"/>
      <c r="P288" s="24"/>
    </row>
    <row r="289" spans="1:16" ht="16.5" customHeight="1">
      <c r="A289" s="78" t="s">
        <v>345</v>
      </c>
      <c r="B289" s="11"/>
      <c r="C289" s="11"/>
      <c r="D289" s="11"/>
      <c r="E289" s="11"/>
      <c r="F289" s="11"/>
      <c r="G289" s="11"/>
      <c r="H289" s="11"/>
      <c r="I289" s="11"/>
      <c r="J289" s="12"/>
      <c r="K289" s="92"/>
      <c r="L289" s="42"/>
      <c r="M289" s="32">
        <f>4178347-540312.5</f>
        <v>3638034.5</v>
      </c>
      <c r="N289" s="32">
        <v>33829.48</v>
      </c>
      <c r="O289" s="32">
        <v>33829.48</v>
      </c>
      <c r="P289" s="24">
        <f t="shared" si="27"/>
        <v>0.929883430187372</v>
      </c>
    </row>
    <row r="290" spans="1:16" ht="18.75" customHeight="1">
      <c r="A290" s="78" t="s">
        <v>346</v>
      </c>
      <c r="B290" s="11"/>
      <c r="C290" s="11"/>
      <c r="D290" s="11"/>
      <c r="E290" s="11"/>
      <c r="F290" s="11"/>
      <c r="G290" s="11"/>
      <c r="H290" s="11"/>
      <c r="I290" s="11"/>
      <c r="J290" s="12"/>
      <c r="K290" s="92"/>
      <c r="L290" s="42"/>
      <c r="M290" s="32">
        <f>3168197-409687.5</f>
        <v>2758509.5</v>
      </c>
      <c r="N290" s="32">
        <v>25645.69</v>
      </c>
      <c r="O290" s="32">
        <v>25645.69</v>
      </c>
      <c r="P290" s="24">
        <f t="shared" si="27"/>
        <v>0.9296937349681049</v>
      </c>
    </row>
    <row r="291" spans="1:16" ht="18" customHeight="1">
      <c r="A291" s="20" t="s">
        <v>59</v>
      </c>
      <c r="B291" s="11"/>
      <c r="C291" s="11"/>
      <c r="D291" s="11"/>
      <c r="E291" s="11"/>
      <c r="F291" s="11"/>
      <c r="G291" s="11"/>
      <c r="H291" s="11"/>
      <c r="I291" s="11"/>
      <c r="J291" s="12"/>
      <c r="K291" s="92"/>
      <c r="L291" s="42"/>
      <c r="M291" s="31">
        <f>M292</f>
        <v>1213298</v>
      </c>
      <c r="N291" s="31">
        <f>N292</f>
        <v>990139.4</v>
      </c>
      <c r="O291" s="31">
        <f>O292</f>
        <v>0</v>
      </c>
      <c r="P291" s="25">
        <f t="shared" si="27"/>
        <v>0</v>
      </c>
    </row>
    <row r="292" spans="1:16" ht="34.5" customHeight="1">
      <c r="A292" s="91" t="s">
        <v>148</v>
      </c>
      <c r="B292" s="11" t="s">
        <v>37</v>
      </c>
      <c r="C292" s="11">
        <v>9</v>
      </c>
      <c r="D292" s="11">
        <v>92</v>
      </c>
      <c r="E292" s="11" t="s">
        <v>26</v>
      </c>
      <c r="F292" s="11" t="s">
        <v>17</v>
      </c>
      <c r="G292" s="11" t="s">
        <v>15</v>
      </c>
      <c r="H292" s="11" t="s">
        <v>246</v>
      </c>
      <c r="I292" s="11" t="s">
        <v>71</v>
      </c>
      <c r="J292" s="12" t="s">
        <v>58</v>
      </c>
      <c r="K292" s="92">
        <v>0.687</v>
      </c>
      <c r="L292" s="42">
        <v>2017</v>
      </c>
      <c r="M292" s="32">
        <f>M294+M295</f>
        <v>1213298</v>
      </c>
      <c r="N292" s="32">
        <f>N294+N295</f>
        <v>990139.4</v>
      </c>
      <c r="O292" s="32">
        <f>O294+O295</f>
        <v>0</v>
      </c>
      <c r="P292" s="24">
        <f t="shared" si="27"/>
        <v>0</v>
      </c>
    </row>
    <row r="293" spans="1:16" ht="15" customHeight="1">
      <c r="A293" s="78" t="s">
        <v>49</v>
      </c>
      <c r="B293" s="11"/>
      <c r="C293" s="11"/>
      <c r="D293" s="11"/>
      <c r="E293" s="11"/>
      <c r="F293" s="11"/>
      <c r="G293" s="11"/>
      <c r="H293" s="11"/>
      <c r="I293" s="11"/>
      <c r="J293" s="12"/>
      <c r="K293" s="92"/>
      <c r="L293" s="42"/>
      <c r="M293" s="32"/>
      <c r="N293" s="32"/>
      <c r="O293" s="32"/>
      <c r="P293" s="24"/>
    </row>
    <row r="294" spans="1:16" ht="18" customHeight="1">
      <c r="A294" s="78" t="s">
        <v>345</v>
      </c>
      <c r="B294" s="11"/>
      <c r="C294" s="11"/>
      <c r="D294" s="11"/>
      <c r="E294" s="11"/>
      <c r="F294" s="11"/>
      <c r="G294" s="11"/>
      <c r="H294" s="11"/>
      <c r="I294" s="11"/>
      <c r="J294" s="12"/>
      <c r="K294" s="92"/>
      <c r="L294" s="42"/>
      <c r="M294" s="32">
        <f>1149329.15-459265.62</f>
        <v>690063.5299999999</v>
      </c>
      <c r="N294" s="32">
        <v>563191.29</v>
      </c>
      <c r="O294" s="32">
        <v>0</v>
      </c>
      <c r="P294" s="24">
        <f t="shared" si="27"/>
        <v>0</v>
      </c>
    </row>
    <row r="295" spans="1:16" ht="21" customHeight="1">
      <c r="A295" s="78" t="s">
        <v>346</v>
      </c>
      <c r="B295" s="11"/>
      <c r="C295" s="11"/>
      <c r="D295" s="11"/>
      <c r="E295" s="11"/>
      <c r="F295" s="11"/>
      <c r="G295" s="11"/>
      <c r="H295" s="11"/>
      <c r="I295" s="11"/>
      <c r="J295" s="12"/>
      <c r="K295" s="92"/>
      <c r="L295" s="42"/>
      <c r="M295" s="32">
        <f>871468.85-348234.38</f>
        <v>523234.47</v>
      </c>
      <c r="N295" s="32">
        <v>426948.11</v>
      </c>
      <c r="O295" s="32">
        <v>0</v>
      </c>
      <c r="P295" s="24">
        <f t="shared" si="27"/>
        <v>0</v>
      </c>
    </row>
    <row r="296" spans="1:16" ht="19.5" customHeight="1">
      <c r="A296" s="20" t="s">
        <v>55</v>
      </c>
      <c r="B296" s="40"/>
      <c r="C296" s="40"/>
      <c r="D296" s="40"/>
      <c r="E296" s="40"/>
      <c r="F296" s="40"/>
      <c r="G296" s="40"/>
      <c r="H296" s="40"/>
      <c r="I296" s="40"/>
      <c r="J296" s="12"/>
      <c r="K296" s="92"/>
      <c r="L296" s="42"/>
      <c r="M296" s="31">
        <f>M297</f>
        <v>775606.6</v>
      </c>
      <c r="N296" s="31">
        <f>N297</f>
        <v>687242.23</v>
      </c>
      <c r="O296" s="31">
        <f>O297</f>
        <v>687242.23</v>
      </c>
      <c r="P296" s="25">
        <f t="shared" si="27"/>
        <v>88.60706316836396</v>
      </c>
    </row>
    <row r="297" spans="1:16" ht="31.5" customHeight="1">
      <c r="A297" s="91" t="s">
        <v>325</v>
      </c>
      <c r="B297" s="11" t="s">
        <v>37</v>
      </c>
      <c r="C297" s="11">
        <v>9</v>
      </c>
      <c r="D297" s="11">
        <v>92</v>
      </c>
      <c r="E297" s="11" t="s">
        <v>26</v>
      </c>
      <c r="F297" s="11" t="s">
        <v>17</v>
      </c>
      <c r="G297" s="11" t="s">
        <v>15</v>
      </c>
      <c r="H297" s="11" t="s">
        <v>246</v>
      </c>
      <c r="I297" s="11" t="s">
        <v>71</v>
      </c>
      <c r="J297" s="12" t="s">
        <v>58</v>
      </c>
      <c r="K297" s="92">
        <v>0.892</v>
      </c>
      <c r="L297" s="42">
        <v>2017</v>
      </c>
      <c r="M297" s="32">
        <f>M299+M300</f>
        <v>775606.6</v>
      </c>
      <c r="N297" s="32">
        <f>N299+N300</f>
        <v>687242.23</v>
      </c>
      <c r="O297" s="32">
        <f>O299+O300</f>
        <v>687242.23</v>
      </c>
      <c r="P297" s="24">
        <f t="shared" si="27"/>
        <v>88.60706316836396</v>
      </c>
    </row>
    <row r="298" spans="1:16" ht="16.5" customHeight="1">
      <c r="A298" s="78" t="s">
        <v>49</v>
      </c>
      <c r="B298" s="11"/>
      <c r="C298" s="11"/>
      <c r="D298" s="11"/>
      <c r="E298" s="11"/>
      <c r="F298" s="11"/>
      <c r="G298" s="11"/>
      <c r="H298" s="11"/>
      <c r="I298" s="11"/>
      <c r="J298" s="12"/>
      <c r="K298" s="92"/>
      <c r="L298" s="42"/>
      <c r="M298" s="32"/>
      <c r="N298" s="32"/>
      <c r="O298" s="32"/>
      <c r="P298" s="24"/>
    </row>
    <row r="299" spans="1:16" ht="19.5" customHeight="1">
      <c r="A299" s="78" t="s">
        <v>345</v>
      </c>
      <c r="B299" s="11"/>
      <c r="C299" s="11"/>
      <c r="D299" s="11"/>
      <c r="E299" s="11"/>
      <c r="F299" s="11"/>
      <c r="G299" s="11"/>
      <c r="H299" s="11"/>
      <c r="I299" s="11"/>
      <c r="J299" s="12"/>
      <c r="K299" s="92"/>
      <c r="L299" s="42"/>
      <c r="M299" s="32">
        <f>462562-21435.28</f>
        <v>441126.72</v>
      </c>
      <c r="N299" s="32">
        <v>390903.38</v>
      </c>
      <c r="O299" s="32">
        <v>390903.38</v>
      </c>
      <c r="P299" s="24">
        <f t="shared" si="27"/>
        <v>88.61475904248104</v>
      </c>
    </row>
    <row r="300" spans="1:16" ht="19.5" customHeight="1">
      <c r="A300" s="78" t="s">
        <v>346</v>
      </c>
      <c r="B300" s="11"/>
      <c r="C300" s="11"/>
      <c r="D300" s="11"/>
      <c r="E300" s="11"/>
      <c r="F300" s="11"/>
      <c r="G300" s="11"/>
      <c r="H300" s="11"/>
      <c r="I300" s="11"/>
      <c r="J300" s="12"/>
      <c r="K300" s="92"/>
      <c r="L300" s="42"/>
      <c r="M300" s="32">
        <f>350733-16253.12</f>
        <v>334479.88</v>
      </c>
      <c r="N300" s="32">
        <v>296338.85</v>
      </c>
      <c r="O300" s="32">
        <v>296338.85</v>
      </c>
      <c r="P300" s="24">
        <f t="shared" si="27"/>
        <v>88.59691351240619</v>
      </c>
    </row>
    <row r="301" spans="1:16" ht="19.5" customHeight="1">
      <c r="A301" s="20" t="s">
        <v>65</v>
      </c>
      <c r="B301" s="11"/>
      <c r="C301" s="11"/>
      <c r="D301" s="11"/>
      <c r="E301" s="11"/>
      <c r="F301" s="11"/>
      <c r="G301" s="11"/>
      <c r="H301" s="11"/>
      <c r="I301" s="11"/>
      <c r="J301" s="12"/>
      <c r="K301" s="92"/>
      <c r="L301" s="42"/>
      <c r="M301" s="31">
        <f>M302</f>
        <v>2427170</v>
      </c>
      <c r="N301" s="31">
        <f>N302</f>
        <v>1489277.51</v>
      </c>
      <c r="O301" s="31">
        <f>O302</f>
        <v>1472367.51</v>
      </c>
      <c r="P301" s="25">
        <f t="shared" si="27"/>
        <v>60.661902956941624</v>
      </c>
    </row>
    <row r="302" spans="1:16" ht="19.5" customHeight="1">
      <c r="A302" s="91" t="s">
        <v>149</v>
      </c>
      <c r="B302" s="11" t="s">
        <v>37</v>
      </c>
      <c r="C302" s="11">
        <v>9</v>
      </c>
      <c r="D302" s="11">
        <v>92</v>
      </c>
      <c r="E302" s="11" t="s">
        <v>26</v>
      </c>
      <c r="F302" s="11" t="s">
        <v>17</v>
      </c>
      <c r="G302" s="11" t="s">
        <v>15</v>
      </c>
      <c r="H302" s="11" t="s">
        <v>246</v>
      </c>
      <c r="I302" s="11" t="s">
        <v>71</v>
      </c>
      <c r="J302" s="12" t="s">
        <v>58</v>
      </c>
      <c r="K302" s="92">
        <v>2.3</v>
      </c>
      <c r="L302" s="42">
        <v>2017</v>
      </c>
      <c r="M302" s="32">
        <f>M304+M305</f>
        <v>2427170</v>
      </c>
      <c r="N302" s="32">
        <f>N304+N305</f>
        <v>1489277.51</v>
      </c>
      <c r="O302" s="32">
        <f>O304+O305</f>
        <v>1472367.51</v>
      </c>
      <c r="P302" s="24">
        <f t="shared" si="27"/>
        <v>60.661902956941624</v>
      </c>
    </row>
    <row r="303" spans="1:16" ht="15.75">
      <c r="A303" s="78" t="s">
        <v>49</v>
      </c>
      <c r="B303" s="11"/>
      <c r="C303" s="11"/>
      <c r="D303" s="11"/>
      <c r="E303" s="11"/>
      <c r="F303" s="11"/>
      <c r="G303" s="11"/>
      <c r="H303" s="11"/>
      <c r="I303" s="11"/>
      <c r="J303" s="12"/>
      <c r="K303" s="92"/>
      <c r="L303" s="42"/>
      <c r="M303" s="32"/>
      <c r="N303" s="32"/>
      <c r="O303" s="32"/>
      <c r="P303" s="24"/>
    </row>
    <row r="304" spans="1:16" ht="17.25" customHeight="1">
      <c r="A304" s="78" t="s">
        <v>345</v>
      </c>
      <c r="B304" s="11"/>
      <c r="C304" s="11"/>
      <c r="D304" s="11"/>
      <c r="E304" s="11"/>
      <c r="F304" s="11"/>
      <c r="G304" s="11"/>
      <c r="H304" s="11"/>
      <c r="I304" s="11"/>
      <c r="J304" s="12"/>
      <c r="K304" s="92"/>
      <c r="L304" s="42"/>
      <c r="M304" s="32">
        <v>1380453</v>
      </c>
      <c r="N304" s="32">
        <v>847101.05</v>
      </c>
      <c r="O304" s="32">
        <v>837482.64</v>
      </c>
      <c r="P304" s="24">
        <f t="shared" si="27"/>
        <v>60.66723314737988</v>
      </c>
    </row>
    <row r="305" spans="1:16" ht="18" customHeight="1">
      <c r="A305" s="78" t="s">
        <v>346</v>
      </c>
      <c r="B305" s="11"/>
      <c r="C305" s="11"/>
      <c r="D305" s="11"/>
      <c r="E305" s="11"/>
      <c r="F305" s="11"/>
      <c r="G305" s="11"/>
      <c r="H305" s="11"/>
      <c r="I305" s="11"/>
      <c r="J305" s="12"/>
      <c r="K305" s="92"/>
      <c r="L305" s="42"/>
      <c r="M305" s="32">
        <v>1046717</v>
      </c>
      <c r="N305" s="32">
        <v>642176.46</v>
      </c>
      <c r="O305" s="32">
        <v>634884.87</v>
      </c>
      <c r="P305" s="24">
        <f t="shared" si="27"/>
        <v>60.65487328475605</v>
      </c>
    </row>
    <row r="306" spans="1:16" ht="19.5" customHeight="1">
      <c r="A306" s="94" t="s">
        <v>64</v>
      </c>
      <c r="B306" s="67"/>
      <c r="C306" s="67"/>
      <c r="D306" s="67"/>
      <c r="E306" s="67"/>
      <c r="F306" s="67"/>
      <c r="G306" s="67"/>
      <c r="H306" s="67"/>
      <c r="I306" s="67"/>
      <c r="J306" s="12"/>
      <c r="K306" s="12"/>
      <c r="L306" s="12"/>
      <c r="M306" s="15">
        <f>M307</f>
        <v>6926882.55</v>
      </c>
      <c r="N306" s="15">
        <f>N307</f>
        <v>4724448.29</v>
      </c>
      <c r="O306" s="15">
        <f>O307</f>
        <v>4724448.29</v>
      </c>
      <c r="P306" s="25">
        <f t="shared" si="27"/>
        <v>68.20453870695411</v>
      </c>
    </row>
    <row r="307" spans="1:16" ht="33.75" customHeight="1">
      <c r="A307" s="91" t="s">
        <v>320</v>
      </c>
      <c r="B307" s="11" t="s">
        <v>37</v>
      </c>
      <c r="C307" s="11">
        <v>9</v>
      </c>
      <c r="D307" s="11">
        <v>92</v>
      </c>
      <c r="E307" s="11" t="s">
        <v>26</v>
      </c>
      <c r="F307" s="11" t="s">
        <v>17</v>
      </c>
      <c r="G307" s="11" t="s">
        <v>15</v>
      </c>
      <c r="H307" s="11" t="s">
        <v>246</v>
      </c>
      <c r="I307" s="11">
        <v>522</v>
      </c>
      <c r="J307" s="12" t="s">
        <v>58</v>
      </c>
      <c r="K307" s="12">
        <v>3.121</v>
      </c>
      <c r="L307" s="42">
        <v>2017</v>
      </c>
      <c r="M307" s="32">
        <f>M309+M310</f>
        <v>6926882.55</v>
      </c>
      <c r="N307" s="32">
        <f>N309+N310</f>
        <v>4724448.29</v>
      </c>
      <c r="O307" s="32">
        <f>O309+O310</f>
        <v>4724448.29</v>
      </c>
      <c r="P307" s="24">
        <f t="shared" si="27"/>
        <v>68.20453870695411</v>
      </c>
    </row>
    <row r="308" spans="1:16" ht="20.25" customHeight="1">
      <c r="A308" s="78" t="s">
        <v>49</v>
      </c>
      <c r="B308" s="11"/>
      <c r="C308" s="11"/>
      <c r="D308" s="11"/>
      <c r="E308" s="11"/>
      <c r="F308" s="11"/>
      <c r="G308" s="11"/>
      <c r="H308" s="11"/>
      <c r="I308" s="11"/>
      <c r="J308" s="12"/>
      <c r="K308" s="12"/>
      <c r="L308" s="42"/>
      <c r="M308" s="32"/>
      <c r="N308" s="24"/>
      <c r="O308" s="24"/>
      <c r="P308" s="24"/>
    </row>
    <row r="309" spans="1:16" ht="18" customHeight="1">
      <c r="A309" s="78" t="s">
        <v>345</v>
      </c>
      <c r="B309" s="11"/>
      <c r="C309" s="11"/>
      <c r="D309" s="11"/>
      <c r="E309" s="11"/>
      <c r="F309" s="11"/>
      <c r="G309" s="11"/>
      <c r="H309" s="11"/>
      <c r="I309" s="11"/>
      <c r="J309" s="12"/>
      <c r="K309" s="12"/>
      <c r="L309" s="42"/>
      <c r="M309" s="32">
        <f>5442259-613818-888776.78</f>
        <v>3939664.2199999997</v>
      </c>
      <c r="N309" s="24">
        <v>2687266.19</v>
      </c>
      <c r="O309" s="24">
        <v>2687266.19</v>
      </c>
      <c r="P309" s="24">
        <f t="shared" si="27"/>
        <v>68.21053876515396</v>
      </c>
    </row>
    <row r="310" spans="1:16" ht="19.5" customHeight="1">
      <c r="A310" s="78" t="s">
        <v>346</v>
      </c>
      <c r="B310" s="11"/>
      <c r="C310" s="11"/>
      <c r="D310" s="11"/>
      <c r="E310" s="11"/>
      <c r="F310" s="11"/>
      <c r="G310" s="11"/>
      <c r="H310" s="11"/>
      <c r="I310" s="11"/>
      <c r="J310" s="12"/>
      <c r="K310" s="12"/>
      <c r="L310" s="42"/>
      <c r="M310" s="32">
        <f>3661126-673907.67</f>
        <v>2987218.33</v>
      </c>
      <c r="N310" s="24">
        <v>2037182.1</v>
      </c>
      <c r="O310" s="24">
        <v>2037182.1</v>
      </c>
      <c r="P310" s="24">
        <f t="shared" si="27"/>
        <v>68.19662558779224</v>
      </c>
    </row>
    <row r="311" spans="1:16" ht="20.25" customHeight="1">
      <c r="A311" s="20" t="s">
        <v>113</v>
      </c>
      <c r="B311" s="40"/>
      <c r="C311" s="40"/>
      <c r="D311" s="40"/>
      <c r="E311" s="40"/>
      <c r="F311" s="40"/>
      <c r="G311" s="40"/>
      <c r="H311" s="40"/>
      <c r="I311" s="40"/>
      <c r="J311" s="12"/>
      <c r="K311" s="92"/>
      <c r="L311" s="42"/>
      <c r="M311" s="31">
        <f>M312</f>
        <v>1542617.35</v>
      </c>
      <c r="N311" s="25"/>
      <c r="O311" s="25"/>
      <c r="P311" s="24">
        <f t="shared" si="27"/>
        <v>0</v>
      </c>
    </row>
    <row r="312" spans="1:16" ht="33.75" customHeight="1">
      <c r="A312" s="91" t="s">
        <v>151</v>
      </c>
      <c r="B312" s="11" t="s">
        <v>37</v>
      </c>
      <c r="C312" s="11">
        <v>9</v>
      </c>
      <c r="D312" s="11">
        <v>92</v>
      </c>
      <c r="E312" s="11" t="s">
        <v>26</v>
      </c>
      <c r="F312" s="11" t="s">
        <v>17</v>
      </c>
      <c r="G312" s="11" t="s">
        <v>15</v>
      </c>
      <c r="H312" s="11" t="s">
        <v>246</v>
      </c>
      <c r="I312" s="11" t="s">
        <v>71</v>
      </c>
      <c r="J312" s="12" t="s">
        <v>58</v>
      </c>
      <c r="K312" s="92">
        <v>3.368</v>
      </c>
      <c r="L312" s="42">
        <v>2017</v>
      </c>
      <c r="M312" s="32">
        <f>M314+M315</f>
        <v>1542617.35</v>
      </c>
      <c r="N312" s="32">
        <f>N314+N315</f>
        <v>1330528.74</v>
      </c>
      <c r="O312" s="32">
        <f>O314+O315</f>
        <v>1191726.03</v>
      </c>
      <c r="P312" s="24">
        <f t="shared" si="27"/>
        <v>77.25350878492323</v>
      </c>
    </row>
    <row r="313" spans="1:16" ht="18" customHeight="1">
      <c r="A313" s="78" t="s">
        <v>49</v>
      </c>
      <c r="B313" s="11"/>
      <c r="C313" s="11"/>
      <c r="D313" s="11"/>
      <c r="E313" s="11"/>
      <c r="F313" s="11"/>
      <c r="G313" s="11"/>
      <c r="H313" s="11"/>
      <c r="I313" s="11"/>
      <c r="J313" s="12"/>
      <c r="K313" s="92"/>
      <c r="L313" s="42"/>
      <c r="M313" s="32"/>
      <c r="N313" s="25"/>
      <c r="O313" s="25"/>
      <c r="P313" s="24"/>
    </row>
    <row r="314" spans="1:16" ht="19.5" customHeight="1">
      <c r="A314" s="78" t="s">
        <v>345</v>
      </c>
      <c r="B314" s="11"/>
      <c r="C314" s="11"/>
      <c r="D314" s="11"/>
      <c r="E314" s="11"/>
      <c r="F314" s="11"/>
      <c r="G314" s="11"/>
      <c r="H314" s="11"/>
      <c r="I314" s="11"/>
      <c r="J314" s="12"/>
      <c r="K314" s="92"/>
      <c r="L314" s="42"/>
      <c r="M314" s="32">
        <f>1020928-143564.81</f>
        <v>877363.19</v>
      </c>
      <c r="N314" s="24">
        <v>756804.75</v>
      </c>
      <c r="O314" s="24">
        <v>677853.77</v>
      </c>
      <c r="P314" s="24">
        <f t="shared" si="27"/>
        <v>77.26033844661298</v>
      </c>
    </row>
    <row r="315" spans="1:16" ht="20.25" customHeight="1">
      <c r="A315" s="78" t="s">
        <v>346</v>
      </c>
      <c r="B315" s="11"/>
      <c r="C315" s="11"/>
      <c r="D315" s="11"/>
      <c r="E315" s="11"/>
      <c r="F315" s="11"/>
      <c r="G315" s="11"/>
      <c r="H315" s="11"/>
      <c r="I315" s="11"/>
      <c r="J315" s="12"/>
      <c r="K315" s="92"/>
      <c r="L315" s="42"/>
      <c r="M315" s="32">
        <f>774111-108856.84</f>
        <v>665254.16</v>
      </c>
      <c r="N315" s="32">
        <v>573723.99</v>
      </c>
      <c r="O315" s="32">
        <v>513872.26</v>
      </c>
      <c r="P315" s="24">
        <f t="shared" si="27"/>
        <v>77.24450156012553</v>
      </c>
    </row>
    <row r="316" spans="1:16" ht="19.5" customHeight="1">
      <c r="A316" s="20" t="s">
        <v>81</v>
      </c>
      <c r="B316" s="11"/>
      <c r="C316" s="11"/>
      <c r="D316" s="11"/>
      <c r="E316" s="11"/>
      <c r="F316" s="11"/>
      <c r="G316" s="11"/>
      <c r="H316" s="11"/>
      <c r="I316" s="11"/>
      <c r="J316" s="12"/>
      <c r="K316" s="92"/>
      <c r="L316" s="42"/>
      <c r="M316" s="31">
        <f>M317+M318+M322+M323</f>
        <v>12823826.27</v>
      </c>
      <c r="N316" s="31">
        <f>N317+N318+N322+N323</f>
        <v>1955891</v>
      </c>
      <c r="O316" s="31">
        <f>O317+O318+O322+O323</f>
        <v>1955891</v>
      </c>
      <c r="P316" s="25">
        <f t="shared" si="27"/>
        <v>15.252007932886633</v>
      </c>
    </row>
    <row r="317" spans="1:16" ht="32.25" customHeight="1">
      <c r="A317" s="61" t="s">
        <v>316</v>
      </c>
      <c r="B317" s="11">
        <v>17</v>
      </c>
      <c r="C317" s="11">
        <v>9</v>
      </c>
      <c r="D317" s="11">
        <v>92</v>
      </c>
      <c r="E317" s="11">
        <v>819</v>
      </c>
      <c r="F317" s="74" t="s">
        <v>17</v>
      </c>
      <c r="G317" s="74" t="s">
        <v>15</v>
      </c>
      <c r="H317" s="11">
        <v>11270</v>
      </c>
      <c r="I317" s="11">
        <v>522</v>
      </c>
      <c r="J317" s="12" t="s">
        <v>58</v>
      </c>
      <c r="K317" s="92">
        <v>3</v>
      </c>
      <c r="L317" s="42">
        <v>2017</v>
      </c>
      <c r="M317" s="32">
        <v>1414257.27</v>
      </c>
      <c r="N317" s="32">
        <v>0</v>
      </c>
      <c r="O317" s="32">
        <v>0</v>
      </c>
      <c r="P317" s="24">
        <f t="shared" si="27"/>
        <v>0</v>
      </c>
    </row>
    <row r="318" spans="1:16" ht="35.25" customHeight="1">
      <c r="A318" s="61" t="s">
        <v>316</v>
      </c>
      <c r="B318" s="11">
        <v>17</v>
      </c>
      <c r="C318" s="11">
        <v>9</v>
      </c>
      <c r="D318" s="11">
        <v>92</v>
      </c>
      <c r="E318" s="11">
        <v>819</v>
      </c>
      <c r="F318" s="74" t="s">
        <v>17</v>
      </c>
      <c r="G318" s="74" t="s">
        <v>15</v>
      </c>
      <c r="H318" s="11" t="s">
        <v>246</v>
      </c>
      <c r="I318" s="11">
        <v>522</v>
      </c>
      <c r="J318" s="12" t="s">
        <v>58</v>
      </c>
      <c r="K318" s="92">
        <v>3</v>
      </c>
      <c r="L318" s="42">
        <v>2017</v>
      </c>
      <c r="M318" s="32">
        <f>M320+M321</f>
        <v>6733742.5</v>
      </c>
      <c r="N318" s="32">
        <f>N320+N321</f>
        <v>0</v>
      </c>
      <c r="O318" s="32">
        <f>O320+O321</f>
        <v>0</v>
      </c>
      <c r="P318" s="24">
        <f t="shared" si="27"/>
        <v>0</v>
      </c>
    </row>
    <row r="319" spans="1:16" ht="20.25" customHeight="1">
      <c r="A319" s="78" t="s">
        <v>49</v>
      </c>
      <c r="B319" s="11"/>
      <c r="C319" s="11"/>
      <c r="D319" s="11"/>
      <c r="E319" s="11"/>
      <c r="F319" s="11"/>
      <c r="G319" s="11"/>
      <c r="H319" s="11"/>
      <c r="I319" s="11"/>
      <c r="J319" s="12"/>
      <c r="K319" s="92"/>
      <c r="L319" s="42"/>
      <c r="M319" s="31"/>
      <c r="N319" s="32"/>
      <c r="O319" s="32"/>
      <c r="P319" s="24"/>
    </row>
    <row r="320" spans="1:16" ht="17.25" customHeight="1">
      <c r="A320" s="78" t="s">
        <v>345</v>
      </c>
      <c r="B320" s="11"/>
      <c r="C320" s="11"/>
      <c r="D320" s="11"/>
      <c r="E320" s="11"/>
      <c r="F320" s="11"/>
      <c r="G320" s="11"/>
      <c r="H320" s="11"/>
      <c r="I320" s="11"/>
      <c r="J320" s="12"/>
      <c r="K320" s="92"/>
      <c r="L320" s="42"/>
      <c r="M320" s="32">
        <v>3829816.04</v>
      </c>
      <c r="N320" s="33">
        <v>0</v>
      </c>
      <c r="O320" s="33">
        <v>0</v>
      </c>
      <c r="P320" s="24">
        <f t="shared" si="27"/>
        <v>0</v>
      </c>
    </row>
    <row r="321" spans="1:16" ht="17.25" customHeight="1">
      <c r="A321" s="78" t="s">
        <v>346</v>
      </c>
      <c r="B321" s="11"/>
      <c r="C321" s="11"/>
      <c r="D321" s="11"/>
      <c r="E321" s="11"/>
      <c r="F321" s="11"/>
      <c r="G321" s="11"/>
      <c r="H321" s="11"/>
      <c r="I321" s="11"/>
      <c r="J321" s="12"/>
      <c r="K321" s="92"/>
      <c r="L321" s="42"/>
      <c r="M321" s="32">
        <v>2903926.46</v>
      </c>
      <c r="N321" s="29">
        <v>0</v>
      </c>
      <c r="O321" s="29">
        <v>0</v>
      </c>
      <c r="P321" s="24">
        <f t="shared" si="27"/>
        <v>0</v>
      </c>
    </row>
    <row r="322" spans="1:16" ht="32.25" customHeight="1">
      <c r="A322" s="91" t="s">
        <v>416</v>
      </c>
      <c r="B322" s="11">
        <v>17</v>
      </c>
      <c r="C322" s="11">
        <v>9</v>
      </c>
      <c r="D322" s="11">
        <v>92</v>
      </c>
      <c r="E322" s="11">
        <v>819</v>
      </c>
      <c r="F322" s="74" t="s">
        <v>17</v>
      </c>
      <c r="G322" s="74" t="s">
        <v>15</v>
      </c>
      <c r="H322" s="11">
        <v>11270</v>
      </c>
      <c r="I322" s="11">
        <v>522</v>
      </c>
      <c r="J322" s="12" t="s">
        <v>278</v>
      </c>
      <c r="K322" s="95">
        <v>2</v>
      </c>
      <c r="L322" s="42">
        <v>2017</v>
      </c>
      <c r="M322" s="32">
        <v>412252.5</v>
      </c>
      <c r="N322" s="29">
        <v>0</v>
      </c>
      <c r="O322" s="29">
        <v>0</v>
      </c>
      <c r="P322" s="24">
        <f t="shared" si="27"/>
        <v>0</v>
      </c>
    </row>
    <row r="323" spans="1:16" ht="21" customHeight="1">
      <c r="A323" s="77" t="s">
        <v>152</v>
      </c>
      <c r="B323" s="11" t="s">
        <v>37</v>
      </c>
      <c r="C323" s="11">
        <v>9</v>
      </c>
      <c r="D323" s="11">
        <v>92</v>
      </c>
      <c r="E323" s="11" t="s">
        <v>26</v>
      </c>
      <c r="F323" s="11" t="s">
        <v>17</v>
      </c>
      <c r="G323" s="11" t="s">
        <v>15</v>
      </c>
      <c r="H323" s="11" t="s">
        <v>246</v>
      </c>
      <c r="I323" s="11" t="s">
        <v>71</v>
      </c>
      <c r="J323" s="12" t="s">
        <v>58</v>
      </c>
      <c r="K323" s="92">
        <v>2.188</v>
      </c>
      <c r="L323" s="42">
        <v>2017</v>
      </c>
      <c r="M323" s="32">
        <f>M325+M326</f>
        <v>4263574</v>
      </c>
      <c r="N323" s="32">
        <f>N325+N326</f>
        <v>1955891</v>
      </c>
      <c r="O323" s="32">
        <f>O325+O326</f>
        <v>1955891</v>
      </c>
      <c r="P323" s="24">
        <f t="shared" si="27"/>
        <v>45.874447118778754</v>
      </c>
    </row>
    <row r="324" spans="1:16" ht="15.75">
      <c r="A324" s="78" t="s">
        <v>49</v>
      </c>
      <c r="B324" s="11"/>
      <c r="C324" s="11"/>
      <c r="D324" s="11"/>
      <c r="E324" s="11"/>
      <c r="F324" s="11"/>
      <c r="G324" s="11"/>
      <c r="H324" s="11"/>
      <c r="I324" s="11"/>
      <c r="J324" s="12"/>
      <c r="K324" s="92"/>
      <c r="L324" s="42"/>
      <c r="M324" s="32"/>
      <c r="N324" s="15"/>
      <c r="O324" s="15"/>
      <c r="P324" s="24"/>
    </row>
    <row r="325" spans="1:16" ht="15.75">
      <c r="A325" s="78" t="s">
        <v>345</v>
      </c>
      <c r="B325" s="11"/>
      <c r="C325" s="11"/>
      <c r="D325" s="11"/>
      <c r="E325" s="11"/>
      <c r="F325" s="11"/>
      <c r="G325" s="11"/>
      <c r="H325" s="11"/>
      <c r="I325" s="11"/>
      <c r="J325" s="12"/>
      <c r="K325" s="92"/>
      <c r="L325" s="42"/>
      <c r="M325" s="32">
        <v>2424907</v>
      </c>
      <c r="N325" s="29">
        <v>1112510.8</v>
      </c>
      <c r="O325" s="29">
        <v>1112510.8</v>
      </c>
      <c r="P325" s="24">
        <f t="shared" si="27"/>
        <v>45.878493484492395</v>
      </c>
    </row>
    <row r="326" spans="1:16" ht="15.75">
      <c r="A326" s="78" t="s">
        <v>346</v>
      </c>
      <c r="B326" s="11"/>
      <c r="C326" s="11"/>
      <c r="D326" s="11"/>
      <c r="E326" s="11"/>
      <c r="F326" s="11"/>
      <c r="G326" s="11"/>
      <c r="H326" s="11"/>
      <c r="I326" s="11"/>
      <c r="J326" s="12"/>
      <c r="K326" s="92"/>
      <c r="L326" s="42"/>
      <c r="M326" s="32">
        <v>1838667</v>
      </c>
      <c r="N326" s="29">
        <v>843380.2</v>
      </c>
      <c r="O326" s="29">
        <v>843380.2</v>
      </c>
      <c r="P326" s="24">
        <f t="shared" si="27"/>
        <v>45.869110611111196</v>
      </c>
    </row>
    <row r="327" spans="1:16" ht="20.25" customHeight="1">
      <c r="A327" s="45" t="s">
        <v>57</v>
      </c>
      <c r="B327" s="11"/>
      <c r="C327" s="11"/>
      <c r="D327" s="11"/>
      <c r="E327" s="11"/>
      <c r="F327" s="11"/>
      <c r="G327" s="11"/>
      <c r="H327" s="11"/>
      <c r="I327" s="11"/>
      <c r="J327" s="62"/>
      <c r="K327" s="96"/>
      <c r="L327" s="12"/>
      <c r="M327" s="25">
        <f>M328</f>
        <v>6743897.35</v>
      </c>
      <c r="N327" s="25">
        <f>N328</f>
        <v>5003755.45</v>
      </c>
      <c r="O327" s="25">
        <f>O328</f>
        <v>4963801.300000001</v>
      </c>
      <c r="P327" s="25">
        <f t="shared" si="27"/>
        <v>73.60434245043783</v>
      </c>
    </row>
    <row r="328" spans="1:16" ht="33" customHeight="1">
      <c r="A328" s="72" t="s">
        <v>301</v>
      </c>
      <c r="B328" s="11">
        <v>17</v>
      </c>
      <c r="C328" s="11">
        <v>9</v>
      </c>
      <c r="D328" s="11">
        <v>92</v>
      </c>
      <c r="E328" s="11" t="s">
        <v>26</v>
      </c>
      <c r="F328" s="11" t="s">
        <v>17</v>
      </c>
      <c r="G328" s="11" t="s">
        <v>15</v>
      </c>
      <c r="H328" s="11" t="s">
        <v>246</v>
      </c>
      <c r="I328" s="11" t="s">
        <v>71</v>
      </c>
      <c r="J328" s="12" t="s">
        <v>58</v>
      </c>
      <c r="K328" s="92">
        <v>7.371</v>
      </c>
      <c r="L328" s="42">
        <v>2017</v>
      </c>
      <c r="M328" s="32">
        <f>M330+M331</f>
        <v>6743897.35</v>
      </c>
      <c r="N328" s="32">
        <f>N330+N331</f>
        <v>5003755.45</v>
      </c>
      <c r="O328" s="32">
        <f>O330+O331</f>
        <v>4963801.300000001</v>
      </c>
      <c r="P328" s="24">
        <f t="shared" si="27"/>
        <v>73.60434245043783</v>
      </c>
    </row>
    <row r="329" spans="1:16" ht="15" customHeight="1">
      <c r="A329" s="78" t="s">
        <v>49</v>
      </c>
      <c r="B329" s="11"/>
      <c r="C329" s="11"/>
      <c r="D329" s="11"/>
      <c r="E329" s="11"/>
      <c r="F329" s="11"/>
      <c r="G329" s="11"/>
      <c r="H329" s="11"/>
      <c r="I329" s="11"/>
      <c r="J329" s="12"/>
      <c r="K329" s="92"/>
      <c r="L329" s="42"/>
      <c r="M329" s="32"/>
      <c r="N329" s="15"/>
      <c r="O329" s="15"/>
      <c r="P329" s="24"/>
    </row>
    <row r="330" spans="1:16" ht="16.5" customHeight="1">
      <c r="A330" s="78" t="s">
        <v>345</v>
      </c>
      <c r="B330" s="11"/>
      <c r="C330" s="11"/>
      <c r="D330" s="11"/>
      <c r="E330" s="11"/>
      <c r="F330" s="11"/>
      <c r="G330" s="11"/>
      <c r="H330" s="11"/>
      <c r="I330" s="11"/>
      <c r="J330" s="12"/>
      <c r="K330" s="92"/>
      <c r="L330" s="42"/>
      <c r="M330" s="32">
        <f>4036624.15-201032.45</f>
        <v>3835591.6999999997</v>
      </c>
      <c r="N330" s="29">
        <v>2846136.1</v>
      </c>
      <c r="O330" s="29">
        <v>2823410.18</v>
      </c>
      <c r="P330" s="24">
        <f t="shared" si="27"/>
        <v>73.61081159915953</v>
      </c>
    </row>
    <row r="331" spans="1:16" ht="15.75">
      <c r="A331" s="78" t="s">
        <v>346</v>
      </c>
      <c r="B331" s="11"/>
      <c r="C331" s="11"/>
      <c r="D331" s="11"/>
      <c r="E331" s="11"/>
      <c r="F331" s="11"/>
      <c r="G331" s="11"/>
      <c r="H331" s="11"/>
      <c r="I331" s="11"/>
      <c r="J331" s="12"/>
      <c r="K331" s="92"/>
      <c r="L331" s="42"/>
      <c r="M331" s="32">
        <f>3060736.85-152431.2</f>
        <v>2908305.65</v>
      </c>
      <c r="N331" s="29">
        <v>2157619.35</v>
      </c>
      <c r="O331" s="29">
        <v>2140391.12</v>
      </c>
      <c r="P331" s="24">
        <f t="shared" si="27"/>
        <v>73.5958106741635</v>
      </c>
    </row>
    <row r="332" spans="1:16" ht="21" customHeight="1">
      <c r="A332" s="45" t="s">
        <v>89</v>
      </c>
      <c r="B332" s="11"/>
      <c r="C332" s="11"/>
      <c r="D332" s="11"/>
      <c r="E332" s="11"/>
      <c r="F332" s="11"/>
      <c r="G332" s="11"/>
      <c r="H332" s="11"/>
      <c r="I332" s="11"/>
      <c r="J332" s="12"/>
      <c r="K332" s="92"/>
      <c r="L332" s="12"/>
      <c r="M332" s="25">
        <f>M333</f>
        <v>7763964.899999999</v>
      </c>
      <c r="N332" s="25">
        <f>N333</f>
        <v>4402328.5</v>
      </c>
      <c r="O332" s="25">
        <f>O333</f>
        <v>4211552.35</v>
      </c>
      <c r="P332" s="25">
        <f t="shared" si="27"/>
        <v>54.244865918958496</v>
      </c>
    </row>
    <row r="333" spans="1:16" ht="18.75" customHeight="1">
      <c r="A333" s="43" t="s">
        <v>302</v>
      </c>
      <c r="B333" s="11" t="s">
        <v>37</v>
      </c>
      <c r="C333" s="11">
        <v>9</v>
      </c>
      <c r="D333" s="11">
        <v>92</v>
      </c>
      <c r="E333" s="11" t="s">
        <v>26</v>
      </c>
      <c r="F333" s="11" t="s">
        <v>17</v>
      </c>
      <c r="G333" s="11" t="s">
        <v>15</v>
      </c>
      <c r="H333" s="11" t="s">
        <v>246</v>
      </c>
      <c r="I333" s="11" t="s">
        <v>71</v>
      </c>
      <c r="J333" s="12" t="s">
        <v>58</v>
      </c>
      <c r="K333" s="92">
        <v>4.07</v>
      </c>
      <c r="L333" s="42">
        <v>2017</v>
      </c>
      <c r="M333" s="24">
        <f>M343+M344</f>
        <v>7763964.899999999</v>
      </c>
      <c r="N333" s="24">
        <f>N343+N344</f>
        <v>4402328.5</v>
      </c>
      <c r="O333" s="24">
        <f>O343+O344</f>
        <v>4211552.35</v>
      </c>
      <c r="P333" s="24">
        <f t="shared" si="27"/>
        <v>54.244865918958496</v>
      </c>
    </row>
    <row r="334" spans="1:16" ht="32.25" customHeight="1" hidden="1">
      <c r="A334" s="43" t="s">
        <v>177</v>
      </c>
      <c r="B334" s="11" t="s">
        <v>37</v>
      </c>
      <c r="C334" s="11">
        <v>9</v>
      </c>
      <c r="D334" s="11">
        <v>92</v>
      </c>
      <c r="E334" s="11" t="s">
        <v>26</v>
      </c>
      <c r="F334" s="11" t="s">
        <v>17</v>
      </c>
      <c r="G334" s="11" t="s">
        <v>15</v>
      </c>
      <c r="H334" s="11" t="s">
        <v>246</v>
      </c>
      <c r="I334" s="11" t="s">
        <v>71</v>
      </c>
      <c r="J334" s="12"/>
      <c r="K334" s="12"/>
      <c r="L334" s="42"/>
      <c r="M334" s="24"/>
      <c r="N334" s="29"/>
      <c r="O334" s="29"/>
      <c r="P334" s="24" t="e">
        <f t="shared" si="27"/>
        <v>#DIV/0!</v>
      </c>
    </row>
    <row r="335" spans="1:16" ht="25.5" customHeight="1" hidden="1">
      <c r="A335" s="45" t="s">
        <v>36</v>
      </c>
      <c r="B335" s="40">
        <v>17</v>
      </c>
      <c r="C335" s="40">
        <v>9</v>
      </c>
      <c r="D335" s="40">
        <v>91</v>
      </c>
      <c r="E335" s="40">
        <v>819</v>
      </c>
      <c r="F335" s="40" t="s">
        <v>21</v>
      </c>
      <c r="G335" s="97" t="s">
        <v>15</v>
      </c>
      <c r="H335" s="11"/>
      <c r="I335" s="11"/>
      <c r="J335" s="12"/>
      <c r="K335" s="12"/>
      <c r="L335" s="42"/>
      <c r="M335" s="25">
        <f>M336</f>
        <v>0</v>
      </c>
      <c r="N335" s="25">
        <f aca="true" t="shared" si="28" ref="N335:O338">N336</f>
        <v>0</v>
      </c>
      <c r="O335" s="25">
        <f t="shared" si="28"/>
        <v>0</v>
      </c>
      <c r="P335" s="24"/>
    </row>
    <row r="336" spans="1:16" ht="33" customHeight="1" hidden="1">
      <c r="A336" s="45" t="s">
        <v>74</v>
      </c>
      <c r="B336" s="40">
        <v>17</v>
      </c>
      <c r="C336" s="40">
        <v>9</v>
      </c>
      <c r="D336" s="40">
        <v>91</v>
      </c>
      <c r="E336" s="40">
        <v>819</v>
      </c>
      <c r="F336" s="40" t="s">
        <v>21</v>
      </c>
      <c r="G336" s="40" t="s">
        <v>15</v>
      </c>
      <c r="H336" s="11">
        <v>11270</v>
      </c>
      <c r="I336" s="11"/>
      <c r="J336" s="12"/>
      <c r="K336" s="12"/>
      <c r="L336" s="42"/>
      <c r="M336" s="25">
        <f>M337</f>
        <v>0</v>
      </c>
      <c r="N336" s="25">
        <f t="shared" si="28"/>
        <v>0</v>
      </c>
      <c r="O336" s="25">
        <f t="shared" si="28"/>
        <v>0</v>
      </c>
      <c r="P336" s="24"/>
    </row>
    <row r="337" spans="1:16" ht="30.75" customHeight="1" hidden="1">
      <c r="A337" s="45" t="s">
        <v>70</v>
      </c>
      <c r="B337" s="40">
        <v>17</v>
      </c>
      <c r="C337" s="40">
        <v>9</v>
      </c>
      <c r="D337" s="40">
        <v>91</v>
      </c>
      <c r="E337" s="40">
        <v>819</v>
      </c>
      <c r="F337" s="40" t="s">
        <v>21</v>
      </c>
      <c r="G337" s="40" t="s">
        <v>15</v>
      </c>
      <c r="H337" s="11">
        <v>11270</v>
      </c>
      <c r="I337" s="11" t="s">
        <v>71</v>
      </c>
      <c r="J337" s="12"/>
      <c r="K337" s="12"/>
      <c r="L337" s="42"/>
      <c r="M337" s="25">
        <f>M338</f>
        <v>0</v>
      </c>
      <c r="N337" s="25">
        <f t="shared" si="28"/>
        <v>0</v>
      </c>
      <c r="O337" s="25">
        <f t="shared" si="28"/>
        <v>0</v>
      </c>
      <c r="P337" s="24"/>
    </row>
    <row r="338" spans="1:16" ht="22.5" customHeight="1" hidden="1">
      <c r="A338" s="45" t="s">
        <v>56</v>
      </c>
      <c r="B338" s="11"/>
      <c r="C338" s="11"/>
      <c r="D338" s="11"/>
      <c r="E338" s="11"/>
      <c r="F338" s="11"/>
      <c r="G338" s="11"/>
      <c r="H338" s="11"/>
      <c r="I338" s="11"/>
      <c r="J338" s="12"/>
      <c r="K338" s="12"/>
      <c r="L338" s="42"/>
      <c r="M338" s="25">
        <f>M339</f>
        <v>0</v>
      </c>
      <c r="N338" s="25">
        <f t="shared" si="28"/>
        <v>0</v>
      </c>
      <c r="O338" s="25">
        <f t="shared" si="28"/>
        <v>0</v>
      </c>
      <c r="P338" s="24"/>
    </row>
    <row r="339" spans="1:16" ht="31.5" customHeight="1" hidden="1">
      <c r="A339" s="43" t="s">
        <v>163</v>
      </c>
      <c r="B339" s="11">
        <v>17</v>
      </c>
      <c r="C339" s="11">
        <v>9</v>
      </c>
      <c r="D339" s="11">
        <v>91</v>
      </c>
      <c r="E339" s="11">
        <v>819</v>
      </c>
      <c r="F339" s="11" t="s">
        <v>21</v>
      </c>
      <c r="G339" s="11" t="s">
        <v>15</v>
      </c>
      <c r="H339" s="11">
        <v>11270</v>
      </c>
      <c r="I339" s="11" t="s">
        <v>71</v>
      </c>
      <c r="J339" s="12" t="s">
        <v>245</v>
      </c>
      <c r="K339" s="12">
        <v>48</v>
      </c>
      <c r="L339" s="42">
        <v>2017</v>
      </c>
      <c r="M339" s="24">
        <v>0</v>
      </c>
      <c r="N339" s="29"/>
      <c r="O339" s="29"/>
      <c r="P339" s="24"/>
    </row>
    <row r="340" spans="1:16" ht="28.5" customHeight="1" hidden="1">
      <c r="A340" s="39" t="s">
        <v>79</v>
      </c>
      <c r="B340" s="11"/>
      <c r="C340" s="11"/>
      <c r="D340" s="11"/>
      <c r="E340" s="11"/>
      <c r="F340" s="74"/>
      <c r="G340" s="11"/>
      <c r="H340" s="11"/>
      <c r="I340" s="11"/>
      <c r="J340" s="12"/>
      <c r="K340" s="12"/>
      <c r="L340" s="42"/>
      <c r="M340" s="31">
        <f>M341</f>
        <v>0</v>
      </c>
      <c r="N340" s="31">
        <f>N341</f>
        <v>0</v>
      </c>
      <c r="O340" s="31">
        <f>O341</f>
        <v>0</v>
      </c>
      <c r="P340" s="24"/>
    </row>
    <row r="341" spans="1:16" ht="15.75" hidden="1">
      <c r="A341" s="61" t="s">
        <v>95</v>
      </c>
      <c r="B341" s="11">
        <v>17</v>
      </c>
      <c r="C341" s="11">
        <v>9</v>
      </c>
      <c r="D341" s="11">
        <v>91</v>
      </c>
      <c r="E341" s="11">
        <v>819</v>
      </c>
      <c r="F341" s="74" t="s">
        <v>19</v>
      </c>
      <c r="G341" s="74" t="s">
        <v>14</v>
      </c>
      <c r="H341" s="11" t="s">
        <v>246</v>
      </c>
      <c r="I341" s="11">
        <v>522</v>
      </c>
      <c r="J341" s="12" t="s">
        <v>53</v>
      </c>
      <c r="K341" s="12">
        <v>200</v>
      </c>
      <c r="L341" s="42">
        <v>2017</v>
      </c>
      <c r="M341" s="32">
        <v>0</v>
      </c>
      <c r="N341" s="68"/>
      <c r="O341" s="68"/>
      <c r="P341" s="24"/>
    </row>
    <row r="342" spans="1:16" ht="18.75" customHeight="1">
      <c r="A342" s="78" t="s">
        <v>49</v>
      </c>
      <c r="B342" s="11"/>
      <c r="C342" s="11"/>
      <c r="D342" s="11"/>
      <c r="E342" s="11"/>
      <c r="F342" s="74"/>
      <c r="G342" s="74"/>
      <c r="H342" s="11"/>
      <c r="I342" s="11"/>
      <c r="J342" s="12"/>
      <c r="K342" s="12"/>
      <c r="L342" s="42"/>
      <c r="M342" s="32"/>
      <c r="N342" s="68"/>
      <c r="O342" s="68"/>
      <c r="P342" s="24"/>
    </row>
    <row r="343" spans="1:16" ht="17.25" customHeight="1">
      <c r="A343" s="78" t="s">
        <v>345</v>
      </c>
      <c r="B343" s="11"/>
      <c r="C343" s="11"/>
      <c r="D343" s="11"/>
      <c r="E343" s="11"/>
      <c r="F343" s="74"/>
      <c r="G343" s="74"/>
      <c r="H343" s="11"/>
      <c r="I343" s="11"/>
      <c r="J343" s="12"/>
      <c r="K343" s="12"/>
      <c r="L343" s="42"/>
      <c r="M343" s="32">
        <f>4565560.7-149449.36</f>
        <v>4416111.34</v>
      </c>
      <c r="N343" s="30">
        <v>2504044.45</v>
      </c>
      <c r="O343" s="30">
        <v>2395530.97</v>
      </c>
      <c r="P343" s="24">
        <f t="shared" si="27"/>
        <v>54.245257548239266</v>
      </c>
    </row>
    <row r="344" spans="1:16" ht="18.75" customHeight="1">
      <c r="A344" s="78" t="s">
        <v>346</v>
      </c>
      <c r="B344" s="11"/>
      <c r="C344" s="11"/>
      <c r="D344" s="11"/>
      <c r="E344" s="11"/>
      <c r="F344" s="74"/>
      <c r="G344" s="74"/>
      <c r="H344" s="11"/>
      <c r="I344" s="11"/>
      <c r="J344" s="12"/>
      <c r="K344" s="12"/>
      <c r="L344" s="42"/>
      <c r="M344" s="32">
        <f>3461172.3-113318.74</f>
        <v>3347853.5599999996</v>
      </c>
      <c r="N344" s="30">
        <v>1898284.05</v>
      </c>
      <c r="O344" s="30">
        <v>1816021.38</v>
      </c>
      <c r="P344" s="24">
        <f t="shared" si="27"/>
        <v>54.24434932572141</v>
      </c>
    </row>
    <row r="345" spans="1:16" ht="53.25" customHeight="1">
      <c r="A345" s="45" t="s">
        <v>83</v>
      </c>
      <c r="B345" s="40" t="s">
        <v>38</v>
      </c>
      <c r="C345" s="40">
        <v>0</v>
      </c>
      <c r="D345" s="40"/>
      <c r="E345" s="11"/>
      <c r="F345" s="11"/>
      <c r="G345" s="11"/>
      <c r="H345" s="11"/>
      <c r="I345" s="11"/>
      <c r="J345" s="12"/>
      <c r="K345" s="12"/>
      <c r="L345" s="12"/>
      <c r="M345" s="23">
        <f>M366+M414+M346</f>
        <v>222335634.04</v>
      </c>
      <c r="N345" s="23">
        <f>N366+N414+N346</f>
        <v>54681295.919999994</v>
      </c>
      <c r="O345" s="23">
        <f>O366+O414+O346</f>
        <v>54508255.32</v>
      </c>
      <c r="P345" s="25">
        <f aca="true" t="shared" si="29" ref="P345:P408">O345/M345*100</f>
        <v>24.51620297185179</v>
      </c>
    </row>
    <row r="346" spans="1:16" ht="54" customHeight="1">
      <c r="A346" s="14" t="s">
        <v>39</v>
      </c>
      <c r="B346" s="63" t="s">
        <v>38</v>
      </c>
      <c r="C346" s="63" t="s">
        <v>10</v>
      </c>
      <c r="D346" s="63"/>
      <c r="E346" s="98" t="s">
        <v>0</v>
      </c>
      <c r="F346" s="98" t="s">
        <v>0</v>
      </c>
      <c r="G346" s="98" t="s">
        <v>0</v>
      </c>
      <c r="H346" s="98" t="s">
        <v>0</v>
      </c>
      <c r="I346" s="98" t="s">
        <v>0</v>
      </c>
      <c r="J346" s="62"/>
      <c r="K346" s="62"/>
      <c r="L346" s="62"/>
      <c r="M346" s="15">
        <f>M348</f>
        <v>20257245.57</v>
      </c>
      <c r="N346" s="15">
        <f>N348</f>
        <v>3026784.4</v>
      </c>
      <c r="O346" s="15">
        <f>O348</f>
        <v>3026784.4</v>
      </c>
      <c r="P346" s="25">
        <f t="shared" si="29"/>
        <v>14.941737214671086</v>
      </c>
    </row>
    <row r="347" spans="1:16" ht="49.5" customHeight="1">
      <c r="A347" s="14" t="s">
        <v>101</v>
      </c>
      <c r="B347" s="63" t="s">
        <v>38</v>
      </c>
      <c r="C347" s="63" t="s">
        <v>10</v>
      </c>
      <c r="D347" s="63">
        <v>13</v>
      </c>
      <c r="E347" s="98"/>
      <c r="F347" s="98"/>
      <c r="G347" s="98"/>
      <c r="H347" s="98"/>
      <c r="I347" s="98"/>
      <c r="J347" s="62"/>
      <c r="K347" s="62"/>
      <c r="L347" s="62"/>
      <c r="M347" s="15">
        <f>M348</f>
        <v>20257245.57</v>
      </c>
      <c r="N347" s="15">
        <f aca="true" t="shared" si="30" ref="N347:O351">N348</f>
        <v>3026784.4</v>
      </c>
      <c r="O347" s="15">
        <f t="shared" si="30"/>
        <v>3026784.4</v>
      </c>
      <c r="P347" s="25">
        <f t="shared" si="29"/>
        <v>14.941737214671086</v>
      </c>
    </row>
    <row r="348" spans="1:16" ht="20.25" customHeight="1">
      <c r="A348" s="14" t="s">
        <v>25</v>
      </c>
      <c r="B348" s="63" t="s">
        <v>38</v>
      </c>
      <c r="C348" s="63">
        <v>1</v>
      </c>
      <c r="D348" s="63">
        <v>13</v>
      </c>
      <c r="E348" s="63" t="s">
        <v>26</v>
      </c>
      <c r="F348" s="63" t="s">
        <v>0</v>
      </c>
      <c r="G348" s="63" t="s">
        <v>0</v>
      </c>
      <c r="H348" s="63" t="s">
        <v>0</v>
      </c>
      <c r="I348" s="63" t="s">
        <v>0</v>
      </c>
      <c r="J348" s="99"/>
      <c r="K348" s="99"/>
      <c r="L348" s="99"/>
      <c r="M348" s="15">
        <f>M349</f>
        <v>20257245.57</v>
      </c>
      <c r="N348" s="15">
        <f t="shared" si="30"/>
        <v>3026784.4</v>
      </c>
      <c r="O348" s="15">
        <f t="shared" si="30"/>
        <v>3026784.4</v>
      </c>
      <c r="P348" s="25">
        <f t="shared" si="29"/>
        <v>14.941737214671086</v>
      </c>
    </row>
    <row r="349" spans="1:16" ht="15.75">
      <c r="A349" s="14" t="s">
        <v>23</v>
      </c>
      <c r="B349" s="63" t="s">
        <v>38</v>
      </c>
      <c r="C349" s="63" t="s">
        <v>10</v>
      </c>
      <c r="D349" s="63">
        <v>13</v>
      </c>
      <c r="E349" s="63" t="s">
        <v>26</v>
      </c>
      <c r="F349" s="63" t="s">
        <v>17</v>
      </c>
      <c r="G349" s="63" t="s">
        <v>0</v>
      </c>
      <c r="H349" s="63" t="s">
        <v>0</v>
      </c>
      <c r="I349" s="63" t="s">
        <v>0</v>
      </c>
      <c r="J349" s="99"/>
      <c r="K349" s="99"/>
      <c r="L349" s="99"/>
      <c r="M349" s="15">
        <f>M350</f>
        <v>20257245.57</v>
      </c>
      <c r="N349" s="15">
        <f t="shared" si="30"/>
        <v>3026784.4</v>
      </c>
      <c r="O349" s="15">
        <f t="shared" si="30"/>
        <v>3026784.4</v>
      </c>
      <c r="P349" s="25">
        <f t="shared" si="29"/>
        <v>14.941737214671086</v>
      </c>
    </row>
    <row r="350" spans="1:16" ht="18" customHeight="1">
      <c r="A350" s="14" t="s">
        <v>24</v>
      </c>
      <c r="B350" s="63" t="s">
        <v>38</v>
      </c>
      <c r="C350" s="63" t="s">
        <v>10</v>
      </c>
      <c r="D350" s="63">
        <v>13</v>
      </c>
      <c r="E350" s="63" t="s">
        <v>26</v>
      </c>
      <c r="F350" s="63" t="s">
        <v>17</v>
      </c>
      <c r="G350" s="63" t="s">
        <v>15</v>
      </c>
      <c r="H350" s="63" t="s">
        <v>0</v>
      </c>
      <c r="I350" s="63" t="s">
        <v>0</v>
      </c>
      <c r="J350" s="99"/>
      <c r="K350" s="99"/>
      <c r="L350" s="99"/>
      <c r="M350" s="15">
        <f>M351</f>
        <v>20257245.57</v>
      </c>
      <c r="N350" s="15">
        <f t="shared" si="30"/>
        <v>3026784.4</v>
      </c>
      <c r="O350" s="15">
        <f t="shared" si="30"/>
        <v>3026784.4</v>
      </c>
      <c r="P350" s="25">
        <f t="shared" si="29"/>
        <v>14.941737214671086</v>
      </c>
    </row>
    <row r="351" spans="1:16" ht="34.5" customHeight="1">
      <c r="A351" s="14" t="s">
        <v>136</v>
      </c>
      <c r="B351" s="63" t="s">
        <v>38</v>
      </c>
      <c r="C351" s="63" t="s">
        <v>10</v>
      </c>
      <c r="D351" s="63">
        <v>13</v>
      </c>
      <c r="E351" s="63" t="s">
        <v>26</v>
      </c>
      <c r="F351" s="63" t="s">
        <v>17</v>
      </c>
      <c r="G351" s="63" t="s">
        <v>15</v>
      </c>
      <c r="H351" s="63">
        <v>11270</v>
      </c>
      <c r="I351" s="63" t="s">
        <v>0</v>
      </c>
      <c r="J351" s="99"/>
      <c r="K351" s="99"/>
      <c r="L351" s="99"/>
      <c r="M351" s="15">
        <f>M352</f>
        <v>20257245.57</v>
      </c>
      <c r="N351" s="15">
        <f t="shared" si="30"/>
        <v>3026784.4</v>
      </c>
      <c r="O351" s="15">
        <f t="shared" si="30"/>
        <v>3026784.4</v>
      </c>
      <c r="P351" s="25">
        <f t="shared" si="29"/>
        <v>14.941737214671086</v>
      </c>
    </row>
    <row r="352" spans="1:16" ht="34.5" customHeight="1">
      <c r="A352" s="14" t="s">
        <v>28</v>
      </c>
      <c r="B352" s="63" t="s">
        <v>38</v>
      </c>
      <c r="C352" s="63" t="s">
        <v>10</v>
      </c>
      <c r="D352" s="63">
        <v>13</v>
      </c>
      <c r="E352" s="63" t="s">
        <v>26</v>
      </c>
      <c r="F352" s="63" t="s">
        <v>17</v>
      </c>
      <c r="G352" s="63" t="s">
        <v>15</v>
      </c>
      <c r="H352" s="63">
        <v>11270</v>
      </c>
      <c r="I352" s="63">
        <v>522</v>
      </c>
      <c r="J352" s="99"/>
      <c r="K352" s="99"/>
      <c r="L352" s="99"/>
      <c r="M352" s="15">
        <f>M353+M362</f>
        <v>20257245.57</v>
      </c>
      <c r="N352" s="15">
        <f>N353+N362</f>
        <v>3026784.4</v>
      </c>
      <c r="O352" s="15">
        <f>O353+O362</f>
        <v>3026784.4</v>
      </c>
      <c r="P352" s="25">
        <f t="shared" si="29"/>
        <v>14.941737214671086</v>
      </c>
    </row>
    <row r="353" spans="1:16" ht="32.25" customHeight="1">
      <c r="A353" s="44" t="s">
        <v>77</v>
      </c>
      <c r="B353" s="63" t="s">
        <v>38</v>
      </c>
      <c r="C353" s="63" t="s">
        <v>10</v>
      </c>
      <c r="D353" s="63">
        <v>13</v>
      </c>
      <c r="E353" s="63" t="s">
        <v>26</v>
      </c>
      <c r="F353" s="63" t="s">
        <v>17</v>
      </c>
      <c r="G353" s="63" t="s">
        <v>15</v>
      </c>
      <c r="H353" s="63">
        <v>11270</v>
      </c>
      <c r="I353" s="63">
        <v>522</v>
      </c>
      <c r="J353" s="12"/>
      <c r="K353" s="12"/>
      <c r="L353" s="12"/>
      <c r="M353" s="15">
        <f>M355+M357+M361+M359</f>
        <v>17493038.25</v>
      </c>
      <c r="N353" s="15">
        <f>N355+N357+N361+N359</f>
        <v>493883.42</v>
      </c>
      <c r="O353" s="15">
        <f>O355+O357+O361+O359</f>
        <v>493883.42</v>
      </c>
      <c r="P353" s="25">
        <f t="shared" si="29"/>
        <v>2.823314126121001</v>
      </c>
    </row>
    <row r="354" spans="1:16" ht="0.75" customHeight="1" hidden="1">
      <c r="A354" s="44" t="s">
        <v>62</v>
      </c>
      <c r="B354" s="63"/>
      <c r="C354" s="63"/>
      <c r="D354" s="63"/>
      <c r="E354" s="63"/>
      <c r="F354" s="63"/>
      <c r="G354" s="63"/>
      <c r="H354" s="63"/>
      <c r="I354" s="63"/>
      <c r="J354" s="12"/>
      <c r="K354" s="12"/>
      <c r="L354" s="12"/>
      <c r="M354" s="15">
        <f>M355</f>
        <v>0</v>
      </c>
      <c r="N354" s="15">
        <f>N355</f>
        <v>0</v>
      </c>
      <c r="O354" s="15">
        <f>O355</f>
        <v>0</v>
      </c>
      <c r="P354" s="25" t="e">
        <f t="shared" si="29"/>
        <v>#DIV/0!</v>
      </c>
    </row>
    <row r="355" spans="1:16" ht="31.5" hidden="1">
      <c r="A355" s="100" t="s">
        <v>237</v>
      </c>
      <c r="B355" s="67" t="s">
        <v>38</v>
      </c>
      <c r="C355" s="67" t="s">
        <v>10</v>
      </c>
      <c r="D355" s="67">
        <v>13</v>
      </c>
      <c r="E355" s="67" t="s">
        <v>26</v>
      </c>
      <c r="F355" s="67" t="s">
        <v>17</v>
      </c>
      <c r="G355" s="67" t="s">
        <v>15</v>
      </c>
      <c r="H355" s="67">
        <v>11270</v>
      </c>
      <c r="I355" s="67">
        <v>522</v>
      </c>
      <c r="J355" s="12" t="s">
        <v>58</v>
      </c>
      <c r="K355" s="12">
        <v>3.08</v>
      </c>
      <c r="L355" s="12">
        <v>2017</v>
      </c>
      <c r="M355" s="29">
        <v>0</v>
      </c>
      <c r="N355" s="25"/>
      <c r="O355" s="25"/>
      <c r="P355" s="25" t="e">
        <f t="shared" si="29"/>
        <v>#DIV/0!</v>
      </c>
    </row>
    <row r="356" spans="1:16" ht="18.75" customHeight="1">
      <c r="A356" s="101" t="s">
        <v>153</v>
      </c>
      <c r="B356" s="67"/>
      <c r="C356" s="67"/>
      <c r="D356" s="67"/>
      <c r="E356" s="67"/>
      <c r="F356" s="67"/>
      <c r="G356" s="67"/>
      <c r="H356" s="67"/>
      <c r="I356" s="67"/>
      <c r="J356" s="12"/>
      <c r="K356" s="12"/>
      <c r="L356" s="12"/>
      <c r="M356" s="15">
        <f>M357</f>
        <v>3922331.25</v>
      </c>
      <c r="N356" s="15">
        <f>N357</f>
        <v>0</v>
      </c>
      <c r="O356" s="15">
        <f>O357</f>
        <v>0</v>
      </c>
      <c r="P356" s="25">
        <f t="shared" si="29"/>
        <v>0</v>
      </c>
    </row>
    <row r="357" spans="1:16" ht="30.75" customHeight="1">
      <c r="A357" s="100" t="s">
        <v>417</v>
      </c>
      <c r="B357" s="67" t="s">
        <v>38</v>
      </c>
      <c r="C357" s="67" t="s">
        <v>10</v>
      </c>
      <c r="D357" s="67">
        <v>13</v>
      </c>
      <c r="E357" s="67" t="s">
        <v>26</v>
      </c>
      <c r="F357" s="67" t="s">
        <v>17</v>
      </c>
      <c r="G357" s="67" t="s">
        <v>15</v>
      </c>
      <c r="H357" s="67">
        <v>11270</v>
      </c>
      <c r="I357" s="67">
        <v>522</v>
      </c>
      <c r="J357" s="12" t="s">
        <v>58</v>
      </c>
      <c r="K357" s="12">
        <v>0.2</v>
      </c>
      <c r="L357" s="12">
        <v>2017</v>
      </c>
      <c r="M357" s="29">
        <f>3417373+504958.25</f>
        <v>3922331.25</v>
      </c>
      <c r="N357" s="24">
        <v>0</v>
      </c>
      <c r="O357" s="24">
        <v>0</v>
      </c>
      <c r="P357" s="24">
        <f t="shared" si="29"/>
        <v>0</v>
      </c>
    </row>
    <row r="358" spans="1:16" ht="15.75">
      <c r="A358" s="44" t="s">
        <v>85</v>
      </c>
      <c r="B358" s="67"/>
      <c r="C358" s="67"/>
      <c r="D358" s="67"/>
      <c r="E358" s="67"/>
      <c r="F358" s="67"/>
      <c r="G358" s="67"/>
      <c r="H358" s="67"/>
      <c r="I358" s="67"/>
      <c r="J358" s="12"/>
      <c r="K358" s="12"/>
      <c r="L358" s="12"/>
      <c r="M358" s="15">
        <f>M359</f>
        <v>9170707</v>
      </c>
      <c r="N358" s="31"/>
      <c r="O358" s="31"/>
      <c r="P358" s="25">
        <f t="shared" si="29"/>
        <v>0</v>
      </c>
    </row>
    <row r="359" spans="1:16" ht="31.5">
      <c r="A359" s="10" t="s">
        <v>329</v>
      </c>
      <c r="B359" s="67" t="s">
        <v>38</v>
      </c>
      <c r="C359" s="67" t="s">
        <v>10</v>
      </c>
      <c r="D359" s="67">
        <v>13</v>
      </c>
      <c r="E359" s="67" t="s">
        <v>26</v>
      </c>
      <c r="F359" s="67" t="s">
        <v>17</v>
      </c>
      <c r="G359" s="67" t="s">
        <v>15</v>
      </c>
      <c r="H359" s="67">
        <v>11270</v>
      </c>
      <c r="I359" s="67">
        <v>522</v>
      </c>
      <c r="J359" s="12" t="s">
        <v>58</v>
      </c>
      <c r="K359" s="12">
        <v>2.335</v>
      </c>
      <c r="L359" s="12">
        <v>2017</v>
      </c>
      <c r="M359" s="29">
        <f>10937255-1766548</f>
        <v>9170707</v>
      </c>
      <c r="N359" s="32">
        <v>493883.42</v>
      </c>
      <c r="O359" s="32">
        <v>493883.42</v>
      </c>
      <c r="P359" s="24">
        <f t="shared" si="29"/>
        <v>5.385445418766514</v>
      </c>
    </row>
    <row r="360" spans="1:16" ht="15.75">
      <c r="A360" s="101" t="s">
        <v>131</v>
      </c>
      <c r="B360" s="67"/>
      <c r="C360" s="67"/>
      <c r="D360" s="67"/>
      <c r="E360" s="67"/>
      <c r="F360" s="67"/>
      <c r="G360" s="67"/>
      <c r="H360" s="67"/>
      <c r="I360" s="67"/>
      <c r="J360" s="12"/>
      <c r="K360" s="12"/>
      <c r="L360" s="12"/>
      <c r="M360" s="15">
        <f>M361</f>
        <v>4400000</v>
      </c>
      <c r="N360" s="32"/>
      <c r="O360" s="32"/>
      <c r="P360" s="25">
        <f t="shared" si="29"/>
        <v>0</v>
      </c>
    </row>
    <row r="361" spans="1:16" ht="18" customHeight="1">
      <c r="A361" s="100" t="s">
        <v>193</v>
      </c>
      <c r="B361" s="67" t="s">
        <v>38</v>
      </c>
      <c r="C361" s="67" t="s">
        <v>10</v>
      </c>
      <c r="D361" s="67">
        <v>13</v>
      </c>
      <c r="E361" s="67" t="s">
        <v>26</v>
      </c>
      <c r="F361" s="67" t="s">
        <v>17</v>
      </c>
      <c r="G361" s="67" t="s">
        <v>15</v>
      </c>
      <c r="H361" s="67">
        <v>11270</v>
      </c>
      <c r="I361" s="67">
        <v>522</v>
      </c>
      <c r="J361" s="12" t="s">
        <v>231</v>
      </c>
      <c r="K361" s="12">
        <v>200</v>
      </c>
      <c r="L361" s="12">
        <v>2017</v>
      </c>
      <c r="M361" s="29">
        <v>4400000</v>
      </c>
      <c r="N361" s="32">
        <v>0</v>
      </c>
      <c r="O361" s="32">
        <v>0</v>
      </c>
      <c r="P361" s="24">
        <f t="shared" si="29"/>
        <v>0</v>
      </c>
    </row>
    <row r="362" spans="1:16" ht="31.5">
      <c r="A362" s="101" t="s">
        <v>76</v>
      </c>
      <c r="B362" s="63" t="s">
        <v>38</v>
      </c>
      <c r="C362" s="63" t="s">
        <v>10</v>
      </c>
      <c r="D362" s="63">
        <v>13</v>
      </c>
      <c r="E362" s="63" t="s">
        <v>26</v>
      </c>
      <c r="F362" s="63" t="s">
        <v>17</v>
      </c>
      <c r="G362" s="63" t="s">
        <v>15</v>
      </c>
      <c r="H362" s="63">
        <v>11270</v>
      </c>
      <c r="I362" s="63">
        <v>522</v>
      </c>
      <c r="J362" s="12"/>
      <c r="K362" s="12"/>
      <c r="L362" s="12"/>
      <c r="M362" s="15">
        <f>M363</f>
        <v>2764207.32</v>
      </c>
      <c r="N362" s="15">
        <f>N363</f>
        <v>2532900.98</v>
      </c>
      <c r="O362" s="15">
        <f>O363</f>
        <v>2532900.98</v>
      </c>
      <c r="P362" s="25">
        <f t="shared" si="29"/>
        <v>91.63209147423863</v>
      </c>
    </row>
    <row r="363" spans="1:16" ht="15.75">
      <c r="A363" s="101" t="s">
        <v>153</v>
      </c>
      <c r="B363" s="67"/>
      <c r="C363" s="67"/>
      <c r="D363" s="67"/>
      <c r="E363" s="67"/>
      <c r="F363" s="67"/>
      <c r="G363" s="67"/>
      <c r="H363" s="67"/>
      <c r="I363" s="67"/>
      <c r="J363" s="12"/>
      <c r="K363" s="12"/>
      <c r="L363" s="12"/>
      <c r="M363" s="15">
        <f>M364+M365</f>
        <v>2764207.32</v>
      </c>
      <c r="N363" s="15">
        <f>N364+N365</f>
        <v>2532900.98</v>
      </c>
      <c r="O363" s="15">
        <f>O364+O365</f>
        <v>2532900.98</v>
      </c>
      <c r="P363" s="25">
        <f t="shared" si="29"/>
        <v>91.63209147423863</v>
      </c>
    </row>
    <row r="364" spans="1:16" ht="31.5">
      <c r="A364" s="100" t="s">
        <v>335</v>
      </c>
      <c r="B364" s="67" t="s">
        <v>38</v>
      </c>
      <c r="C364" s="67" t="s">
        <v>10</v>
      </c>
      <c r="D364" s="67">
        <v>13</v>
      </c>
      <c r="E364" s="67" t="s">
        <v>26</v>
      </c>
      <c r="F364" s="67" t="s">
        <v>17</v>
      </c>
      <c r="G364" s="67" t="s">
        <v>15</v>
      </c>
      <c r="H364" s="67">
        <v>11270</v>
      </c>
      <c r="I364" s="67">
        <v>522</v>
      </c>
      <c r="J364" s="12" t="s">
        <v>58</v>
      </c>
      <c r="K364" s="12">
        <v>3.107</v>
      </c>
      <c r="L364" s="12">
        <v>2017</v>
      </c>
      <c r="M364" s="29">
        <f>2900776-638296.45</f>
        <v>2262479.55</v>
      </c>
      <c r="N364" s="32">
        <v>2039722.98</v>
      </c>
      <c r="O364" s="32">
        <v>2039722.98</v>
      </c>
      <c r="P364" s="24">
        <f t="shared" si="29"/>
        <v>90.15431675393486</v>
      </c>
    </row>
    <row r="365" spans="1:16" ht="17.25" customHeight="1">
      <c r="A365" s="100" t="s">
        <v>334</v>
      </c>
      <c r="B365" s="67" t="s">
        <v>38</v>
      </c>
      <c r="C365" s="67" t="s">
        <v>10</v>
      </c>
      <c r="D365" s="67">
        <v>13</v>
      </c>
      <c r="E365" s="67" t="s">
        <v>26</v>
      </c>
      <c r="F365" s="67" t="s">
        <v>17</v>
      </c>
      <c r="G365" s="67" t="s">
        <v>15</v>
      </c>
      <c r="H365" s="67">
        <v>11270</v>
      </c>
      <c r="I365" s="67">
        <v>522</v>
      </c>
      <c r="J365" s="12" t="s">
        <v>58</v>
      </c>
      <c r="K365" s="12">
        <v>0.587</v>
      </c>
      <c r="L365" s="12">
        <v>2017</v>
      </c>
      <c r="M365" s="29">
        <f>561687.5-59959.73</f>
        <v>501727.77</v>
      </c>
      <c r="N365" s="32">
        <v>493178</v>
      </c>
      <c r="O365" s="32">
        <v>493178</v>
      </c>
      <c r="P365" s="24">
        <f t="shared" si="29"/>
        <v>98.29593446661323</v>
      </c>
    </row>
    <row r="366" spans="1:16" ht="31.5">
      <c r="A366" s="45" t="s">
        <v>40</v>
      </c>
      <c r="B366" s="40" t="s">
        <v>38</v>
      </c>
      <c r="C366" s="40" t="s">
        <v>11</v>
      </c>
      <c r="D366" s="40"/>
      <c r="E366" s="75" t="s">
        <v>0</v>
      </c>
      <c r="F366" s="75" t="s">
        <v>0</v>
      </c>
      <c r="G366" s="75" t="s">
        <v>0</v>
      </c>
      <c r="H366" s="40"/>
      <c r="I366" s="40"/>
      <c r="J366" s="102"/>
      <c r="K366" s="102"/>
      <c r="L366" s="12"/>
      <c r="M366" s="28">
        <f>M368</f>
        <v>35728737.77</v>
      </c>
      <c r="N366" s="28">
        <f>N368</f>
        <v>10362009.22</v>
      </c>
      <c r="O366" s="28">
        <f>O368</f>
        <v>10188968.620000001</v>
      </c>
      <c r="P366" s="25">
        <f t="shared" si="29"/>
        <v>28.517572284782116</v>
      </c>
    </row>
    <row r="367" spans="1:16" ht="47.25">
      <c r="A367" s="14" t="s">
        <v>102</v>
      </c>
      <c r="B367" s="63" t="s">
        <v>38</v>
      </c>
      <c r="C367" s="63" t="s">
        <v>11</v>
      </c>
      <c r="D367" s="63">
        <v>14</v>
      </c>
      <c r="E367" s="75"/>
      <c r="F367" s="75"/>
      <c r="G367" s="75"/>
      <c r="H367" s="40"/>
      <c r="I367" s="40"/>
      <c r="J367" s="102"/>
      <c r="K367" s="102"/>
      <c r="L367" s="12"/>
      <c r="M367" s="28">
        <f>M368</f>
        <v>35728737.77</v>
      </c>
      <c r="N367" s="28">
        <f aca="true" t="shared" si="31" ref="N367:O370">N368</f>
        <v>10362009.22</v>
      </c>
      <c r="O367" s="28">
        <f t="shared" si="31"/>
        <v>10188968.620000001</v>
      </c>
      <c r="P367" s="25">
        <f t="shared" si="29"/>
        <v>28.517572284782116</v>
      </c>
    </row>
    <row r="368" spans="1:16" ht="17.25" customHeight="1">
      <c r="A368" s="45" t="s">
        <v>23</v>
      </c>
      <c r="B368" s="40" t="s">
        <v>38</v>
      </c>
      <c r="C368" s="40" t="s">
        <v>11</v>
      </c>
      <c r="D368" s="63">
        <v>14</v>
      </c>
      <c r="E368" s="40" t="s">
        <v>26</v>
      </c>
      <c r="F368" s="40" t="s">
        <v>17</v>
      </c>
      <c r="G368" s="40" t="s">
        <v>0</v>
      </c>
      <c r="H368" s="40"/>
      <c r="I368" s="40"/>
      <c r="J368" s="102"/>
      <c r="K368" s="102"/>
      <c r="L368" s="12"/>
      <c r="M368" s="28">
        <f>M369</f>
        <v>35728737.77</v>
      </c>
      <c r="N368" s="28">
        <f t="shared" si="31"/>
        <v>10362009.22</v>
      </c>
      <c r="O368" s="28">
        <f t="shared" si="31"/>
        <v>10188968.620000001</v>
      </c>
      <c r="P368" s="25">
        <f t="shared" si="29"/>
        <v>28.517572284782116</v>
      </c>
    </row>
    <row r="369" spans="1:16" ht="15.75">
      <c r="A369" s="45" t="s">
        <v>24</v>
      </c>
      <c r="B369" s="40" t="s">
        <v>38</v>
      </c>
      <c r="C369" s="40" t="s">
        <v>11</v>
      </c>
      <c r="D369" s="63">
        <v>14</v>
      </c>
      <c r="E369" s="40" t="s">
        <v>26</v>
      </c>
      <c r="F369" s="40" t="s">
        <v>17</v>
      </c>
      <c r="G369" s="40" t="s">
        <v>15</v>
      </c>
      <c r="H369" s="40"/>
      <c r="I369" s="40"/>
      <c r="J369" s="102"/>
      <c r="K369" s="102"/>
      <c r="L369" s="12"/>
      <c r="M369" s="28">
        <f>M370</f>
        <v>35728737.77</v>
      </c>
      <c r="N369" s="28">
        <f t="shared" si="31"/>
        <v>10362009.22</v>
      </c>
      <c r="O369" s="28">
        <f t="shared" si="31"/>
        <v>10188968.620000001</v>
      </c>
      <c r="P369" s="25">
        <f t="shared" si="29"/>
        <v>28.517572284782116</v>
      </c>
    </row>
    <row r="370" spans="1:16" ht="31.5">
      <c r="A370" s="45" t="s">
        <v>74</v>
      </c>
      <c r="B370" s="40" t="s">
        <v>38</v>
      </c>
      <c r="C370" s="40" t="s">
        <v>11</v>
      </c>
      <c r="D370" s="63">
        <v>14</v>
      </c>
      <c r="E370" s="40" t="s">
        <v>26</v>
      </c>
      <c r="F370" s="40" t="s">
        <v>17</v>
      </c>
      <c r="G370" s="40" t="s">
        <v>15</v>
      </c>
      <c r="H370" s="40">
        <v>11270</v>
      </c>
      <c r="I370" s="40" t="s">
        <v>0</v>
      </c>
      <c r="J370" s="102"/>
      <c r="K370" s="102"/>
      <c r="L370" s="12"/>
      <c r="M370" s="28">
        <f>M371</f>
        <v>35728737.77</v>
      </c>
      <c r="N370" s="28">
        <f t="shared" si="31"/>
        <v>10362009.22</v>
      </c>
      <c r="O370" s="28">
        <f t="shared" si="31"/>
        <v>10188968.620000001</v>
      </c>
      <c r="P370" s="25">
        <f t="shared" si="29"/>
        <v>28.517572284782116</v>
      </c>
    </row>
    <row r="371" spans="1:16" ht="30" customHeight="1">
      <c r="A371" s="45" t="s">
        <v>70</v>
      </c>
      <c r="B371" s="40" t="s">
        <v>38</v>
      </c>
      <c r="C371" s="40" t="s">
        <v>11</v>
      </c>
      <c r="D371" s="63">
        <v>14</v>
      </c>
      <c r="E371" s="40" t="s">
        <v>26</v>
      </c>
      <c r="F371" s="40" t="s">
        <v>17</v>
      </c>
      <c r="G371" s="40" t="s">
        <v>15</v>
      </c>
      <c r="H371" s="40">
        <v>11270</v>
      </c>
      <c r="I371" s="40" t="s">
        <v>71</v>
      </c>
      <c r="J371" s="102"/>
      <c r="K371" s="102"/>
      <c r="L371" s="12"/>
      <c r="M371" s="28">
        <f>M377+M385+M407+M372</f>
        <v>35728737.77</v>
      </c>
      <c r="N371" s="28">
        <f>N377+N385+N407+N372</f>
        <v>10362009.22</v>
      </c>
      <c r="O371" s="28">
        <f>O377+O385+O407+O372</f>
        <v>10188968.620000001</v>
      </c>
      <c r="P371" s="25">
        <f t="shared" si="29"/>
        <v>28.517572284782116</v>
      </c>
    </row>
    <row r="372" spans="1:16" ht="15.75" customHeight="1" hidden="1">
      <c r="A372" s="94" t="s">
        <v>343</v>
      </c>
      <c r="B372" s="40" t="s">
        <v>38</v>
      </c>
      <c r="C372" s="40" t="s">
        <v>11</v>
      </c>
      <c r="D372" s="63">
        <v>14</v>
      </c>
      <c r="E372" s="40" t="s">
        <v>26</v>
      </c>
      <c r="F372" s="40" t="s">
        <v>17</v>
      </c>
      <c r="G372" s="40" t="s">
        <v>15</v>
      </c>
      <c r="H372" s="40">
        <v>11270</v>
      </c>
      <c r="I372" s="40" t="s">
        <v>71</v>
      </c>
      <c r="J372" s="102"/>
      <c r="K372" s="102"/>
      <c r="L372" s="12"/>
      <c r="M372" s="28">
        <f>M375+M373</f>
        <v>6514845.74</v>
      </c>
      <c r="N372" s="25"/>
      <c r="O372" s="25"/>
      <c r="P372" s="25">
        <f t="shared" si="29"/>
        <v>0</v>
      </c>
    </row>
    <row r="373" spans="1:16" ht="15.75" customHeight="1" hidden="1">
      <c r="A373" s="94" t="s">
        <v>60</v>
      </c>
      <c r="B373" s="40"/>
      <c r="C373" s="40"/>
      <c r="D373" s="63"/>
      <c r="E373" s="40"/>
      <c r="F373" s="40"/>
      <c r="G373" s="40"/>
      <c r="H373" s="40"/>
      <c r="I373" s="40"/>
      <c r="J373" s="102"/>
      <c r="K373" s="102"/>
      <c r="L373" s="12"/>
      <c r="M373" s="28">
        <f>M374</f>
        <v>1766548</v>
      </c>
      <c r="N373" s="24"/>
      <c r="O373" s="24"/>
      <c r="P373" s="25">
        <f t="shared" si="29"/>
        <v>0</v>
      </c>
    </row>
    <row r="374" spans="1:16" ht="17.25" customHeight="1">
      <c r="A374" s="10" t="s">
        <v>418</v>
      </c>
      <c r="B374" s="11" t="s">
        <v>38</v>
      </c>
      <c r="C374" s="11" t="s">
        <v>11</v>
      </c>
      <c r="D374" s="11">
        <v>14</v>
      </c>
      <c r="E374" s="11" t="s">
        <v>26</v>
      </c>
      <c r="F374" s="11" t="s">
        <v>17</v>
      </c>
      <c r="G374" s="11" t="s">
        <v>15</v>
      </c>
      <c r="H374" s="11">
        <v>11270</v>
      </c>
      <c r="I374" s="11" t="s">
        <v>71</v>
      </c>
      <c r="J374" s="12" t="s">
        <v>132</v>
      </c>
      <c r="K374" s="12">
        <v>400</v>
      </c>
      <c r="L374" s="12">
        <v>2017</v>
      </c>
      <c r="M374" s="30">
        <v>1766548</v>
      </c>
      <c r="N374" s="24">
        <v>0</v>
      </c>
      <c r="O374" s="24">
        <v>0</v>
      </c>
      <c r="P374" s="24">
        <f t="shared" si="29"/>
        <v>0</v>
      </c>
    </row>
    <row r="375" spans="1:16" ht="15.75">
      <c r="A375" s="94" t="s">
        <v>66</v>
      </c>
      <c r="B375" s="11"/>
      <c r="C375" s="11"/>
      <c r="D375" s="11"/>
      <c r="E375" s="11"/>
      <c r="F375" s="11"/>
      <c r="G375" s="11"/>
      <c r="H375" s="11"/>
      <c r="I375" s="11"/>
      <c r="J375" s="62"/>
      <c r="K375" s="62"/>
      <c r="L375" s="12"/>
      <c r="M375" s="25">
        <f>M376</f>
        <v>4748297.74</v>
      </c>
      <c r="N375" s="25">
        <f>N376</f>
        <v>0</v>
      </c>
      <c r="O375" s="25">
        <f>O376</f>
        <v>0</v>
      </c>
      <c r="P375" s="25">
        <f t="shared" si="29"/>
        <v>0</v>
      </c>
    </row>
    <row r="376" spans="1:16" ht="47.25">
      <c r="A376" s="10" t="s">
        <v>337</v>
      </c>
      <c r="B376" s="11" t="s">
        <v>38</v>
      </c>
      <c r="C376" s="11" t="s">
        <v>11</v>
      </c>
      <c r="D376" s="11">
        <v>14</v>
      </c>
      <c r="E376" s="11" t="s">
        <v>26</v>
      </c>
      <c r="F376" s="11" t="s">
        <v>17</v>
      </c>
      <c r="G376" s="11" t="s">
        <v>15</v>
      </c>
      <c r="H376" s="11">
        <v>11270</v>
      </c>
      <c r="I376" s="11" t="s">
        <v>71</v>
      </c>
      <c r="J376" s="62" t="s">
        <v>132</v>
      </c>
      <c r="K376" s="62">
        <v>300</v>
      </c>
      <c r="L376" s="12">
        <v>2017</v>
      </c>
      <c r="M376" s="24">
        <f>2407297.74+2341000</f>
        <v>4748297.74</v>
      </c>
      <c r="N376" s="24">
        <v>0</v>
      </c>
      <c r="O376" s="24">
        <v>0</v>
      </c>
      <c r="P376" s="24">
        <f t="shared" si="29"/>
        <v>0</v>
      </c>
    </row>
    <row r="377" spans="1:16" ht="31.5">
      <c r="A377" s="73" t="s">
        <v>76</v>
      </c>
      <c r="B377" s="40" t="s">
        <v>38</v>
      </c>
      <c r="C377" s="40" t="s">
        <v>11</v>
      </c>
      <c r="D377" s="63">
        <v>14</v>
      </c>
      <c r="E377" s="40" t="s">
        <v>26</v>
      </c>
      <c r="F377" s="40" t="s">
        <v>17</v>
      </c>
      <c r="G377" s="40" t="s">
        <v>15</v>
      </c>
      <c r="H377" s="40">
        <v>11270</v>
      </c>
      <c r="I377" s="40" t="s">
        <v>71</v>
      </c>
      <c r="J377" s="12"/>
      <c r="K377" s="12"/>
      <c r="L377" s="12"/>
      <c r="M377" s="28">
        <f>M379+M381+M383+M384</f>
        <v>1195229.75</v>
      </c>
      <c r="N377" s="28">
        <f>N379+N381+N383+N384</f>
        <v>1087867.67</v>
      </c>
      <c r="O377" s="28">
        <f>O379+O381+O383+O384</f>
        <v>1087867.67</v>
      </c>
      <c r="P377" s="25">
        <f t="shared" si="29"/>
        <v>91.0174525023327</v>
      </c>
    </row>
    <row r="378" spans="1:16" ht="15.75">
      <c r="A378" s="73" t="s">
        <v>60</v>
      </c>
      <c r="B378" s="40"/>
      <c r="C378" s="40"/>
      <c r="D378" s="63"/>
      <c r="E378" s="40"/>
      <c r="F378" s="40"/>
      <c r="G378" s="40"/>
      <c r="H378" s="40"/>
      <c r="I378" s="40"/>
      <c r="J378" s="12"/>
      <c r="K378" s="12"/>
      <c r="L378" s="12"/>
      <c r="M378" s="28">
        <f>M379</f>
        <v>273422.35</v>
      </c>
      <c r="N378" s="28">
        <f>N379</f>
        <v>273422</v>
      </c>
      <c r="O378" s="28">
        <f>O379</f>
        <v>273422</v>
      </c>
      <c r="P378" s="25">
        <f t="shared" si="29"/>
        <v>99.99987199290769</v>
      </c>
    </row>
    <row r="379" spans="1:16" ht="15.75">
      <c r="A379" s="103" t="s">
        <v>157</v>
      </c>
      <c r="B379" s="11">
        <v>19</v>
      </c>
      <c r="C379" s="11">
        <v>2</v>
      </c>
      <c r="D379" s="11">
        <v>14</v>
      </c>
      <c r="E379" s="11">
        <v>819</v>
      </c>
      <c r="F379" s="74" t="s">
        <v>17</v>
      </c>
      <c r="G379" s="74" t="s">
        <v>15</v>
      </c>
      <c r="H379" s="11">
        <v>11270</v>
      </c>
      <c r="I379" s="11">
        <v>522</v>
      </c>
      <c r="J379" s="12" t="s">
        <v>58</v>
      </c>
      <c r="K379" s="12">
        <v>0.27</v>
      </c>
      <c r="L379" s="12">
        <v>2017</v>
      </c>
      <c r="M379" s="30">
        <f>306755-33332.65</f>
        <v>273422.35</v>
      </c>
      <c r="N379" s="29">
        <v>273422</v>
      </c>
      <c r="O379" s="29">
        <v>273422</v>
      </c>
      <c r="P379" s="24">
        <f t="shared" si="29"/>
        <v>99.99987199290769</v>
      </c>
    </row>
    <row r="380" spans="1:16" ht="18" customHeight="1">
      <c r="A380" s="73" t="s">
        <v>97</v>
      </c>
      <c r="B380" s="11"/>
      <c r="C380" s="11"/>
      <c r="D380" s="11"/>
      <c r="E380" s="11"/>
      <c r="F380" s="74"/>
      <c r="G380" s="74"/>
      <c r="H380" s="11"/>
      <c r="I380" s="11"/>
      <c r="J380" s="12"/>
      <c r="K380" s="12"/>
      <c r="L380" s="12"/>
      <c r="M380" s="25">
        <f>M381</f>
        <v>326891.25</v>
      </c>
      <c r="N380" s="25">
        <f>N381</f>
        <v>322141</v>
      </c>
      <c r="O380" s="25">
        <f>O381</f>
        <v>322141</v>
      </c>
      <c r="P380" s="25">
        <f t="shared" si="29"/>
        <v>98.5468408836272</v>
      </c>
    </row>
    <row r="381" spans="1:16" ht="31.5">
      <c r="A381" s="72" t="s">
        <v>336</v>
      </c>
      <c r="B381" s="11">
        <v>19</v>
      </c>
      <c r="C381" s="11">
        <v>2</v>
      </c>
      <c r="D381" s="11">
        <v>14</v>
      </c>
      <c r="E381" s="11">
        <v>819</v>
      </c>
      <c r="F381" s="74" t="s">
        <v>17</v>
      </c>
      <c r="G381" s="74" t="s">
        <v>15</v>
      </c>
      <c r="H381" s="11">
        <v>11270</v>
      </c>
      <c r="I381" s="11">
        <v>522</v>
      </c>
      <c r="J381" s="12" t="s">
        <v>58</v>
      </c>
      <c r="K381" s="12">
        <v>0.343</v>
      </c>
      <c r="L381" s="12">
        <v>2017</v>
      </c>
      <c r="M381" s="24">
        <f>406620-79728.75</f>
        <v>326891.25</v>
      </c>
      <c r="N381" s="24">
        <v>322141</v>
      </c>
      <c r="O381" s="24">
        <v>322141</v>
      </c>
      <c r="P381" s="24">
        <f t="shared" si="29"/>
        <v>98.5468408836272</v>
      </c>
    </row>
    <row r="382" spans="1:16" ht="15.75">
      <c r="A382" s="73" t="s">
        <v>86</v>
      </c>
      <c r="B382" s="11"/>
      <c r="C382" s="11"/>
      <c r="D382" s="11"/>
      <c r="E382" s="11"/>
      <c r="F382" s="74"/>
      <c r="G382" s="74"/>
      <c r="H382" s="11"/>
      <c r="I382" s="11"/>
      <c r="J382" s="12"/>
      <c r="K382" s="12"/>
      <c r="L382" s="12"/>
      <c r="M382" s="25">
        <f>M383+M384</f>
        <v>594916.15</v>
      </c>
      <c r="N382" s="25">
        <f>N383+N384</f>
        <v>492304.67000000004</v>
      </c>
      <c r="O382" s="25">
        <f>O383+O384</f>
        <v>492304.67000000004</v>
      </c>
      <c r="P382" s="25">
        <f t="shared" si="29"/>
        <v>82.75194243760234</v>
      </c>
    </row>
    <row r="383" spans="1:16" ht="31.5">
      <c r="A383" s="72" t="s">
        <v>158</v>
      </c>
      <c r="B383" s="11">
        <v>19</v>
      </c>
      <c r="C383" s="11">
        <v>2</v>
      </c>
      <c r="D383" s="11">
        <v>14</v>
      </c>
      <c r="E383" s="11">
        <v>819</v>
      </c>
      <c r="F383" s="74" t="s">
        <v>17</v>
      </c>
      <c r="G383" s="74" t="s">
        <v>15</v>
      </c>
      <c r="H383" s="11">
        <v>11270</v>
      </c>
      <c r="I383" s="11">
        <v>522</v>
      </c>
      <c r="J383" s="12" t="s">
        <v>58</v>
      </c>
      <c r="K383" s="12">
        <v>0.25</v>
      </c>
      <c r="L383" s="12">
        <v>2017</v>
      </c>
      <c r="M383" s="24">
        <v>238840</v>
      </c>
      <c r="N383" s="24">
        <v>180400.67</v>
      </c>
      <c r="O383" s="24">
        <v>180400.67</v>
      </c>
      <c r="P383" s="24">
        <f t="shared" si="29"/>
        <v>75.53201725004187</v>
      </c>
    </row>
    <row r="384" spans="1:16" ht="31.5">
      <c r="A384" s="72" t="s">
        <v>318</v>
      </c>
      <c r="B384" s="11">
        <v>19</v>
      </c>
      <c r="C384" s="11">
        <v>2</v>
      </c>
      <c r="D384" s="11">
        <v>14</v>
      </c>
      <c r="E384" s="11">
        <v>819</v>
      </c>
      <c r="F384" s="74" t="s">
        <v>17</v>
      </c>
      <c r="G384" s="74" t="s">
        <v>15</v>
      </c>
      <c r="H384" s="11">
        <v>11270</v>
      </c>
      <c r="I384" s="11">
        <v>522</v>
      </c>
      <c r="J384" s="12" t="s">
        <v>58</v>
      </c>
      <c r="K384" s="12">
        <v>0.576</v>
      </c>
      <c r="L384" s="12">
        <v>2017</v>
      </c>
      <c r="M384" s="24">
        <f>413570-57493.85</f>
        <v>356076.15</v>
      </c>
      <c r="N384" s="24">
        <v>311904</v>
      </c>
      <c r="O384" s="24">
        <v>311904</v>
      </c>
      <c r="P384" s="24">
        <f t="shared" si="29"/>
        <v>87.59474623616325</v>
      </c>
    </row>
    <row r="385" spans="1:16" ht="31.5" customHeight="1">
      <c r="A385" s="73" t="s">
        <v>77</v>
      </c>
      <c r="B385" s="40" t="s">
        <v>38</v>
      </c>
      <c r="C385" s="40" t="s">
        <v>11</v>
      </c>
      <c r="D385" s="40">
        <v>14</v>
      </c>
      <c r="E385" s="40" t="s">
        <v>26</v>
      </c>
      <c r="F385" s="40" t="s">
        <v>17</v>
      </c>
      <c r="G385" s="40" t="s">
        <v>15</v>
      </c>
      <c r="H385" s="40">
        <v>11270</v>
      </c>
      <c r="I385" s="40" t="s">
        <v>71</v>
      </c>
      <c r="J385" s="12"/>
      <c r="K385" s="12"/>
      <c r="L385" s="12"/>
      <c r="M385" s="31">
        <f>M389+M391+M393+M394+M396+M399+M400+M402+M404+M406+M398+M387</f>
        <v>17882389.52</v>
      </c>
      <c r="N385" s="31">
        <f>N389+N391+N393+N394+N396+N399+N400+N402+N404+N406+N398+N387</f>
        <v>3258824.32</v>
      </c>
      <c r="O385" s="31">
        <f>O389+O391+O393+O394+O396+O399+O400+O402+O404+O406+O398+O387</f>
        <v>3085783.7199999997</v>
      </c>
      <c r="P385" s="25">
        <f t="shared" si="29"/>
        <v>17.255992083993032</v>
      </c>
    </row>
    <row r="386" spans="1:16" ht="18" customHeight="1">
      <c r="A386" s="73" t="s">
        <v>56</v>
      </c>
      <c r="B386" s="40"/>
      <c r="C386" s="40"/>
      <c r="D386" s="40"/>
      <c r="E386" s="40"/>
      <c r="F386" s="40"/>
      <c r="G386" s="40"/>
      <c r="H386" s="40"/>
      <c r="I386" s="40"/>
      <c r="J386" s="12"/>
      <c r="K386" s="12"/>
      <c r="L386" s="12"/>
      <c r="M386" s="31">
        <f>M387</f>
        <v>2616195.9</v>
      </c>
      <c r="N386" s="25"/>
      <c r="O386" s="25"/>
      <c r="P386" s="25">
        <f t="shared" si="29"/>
        <v>0</v>
      </c>
    </row>
    <row r="387" spans="1:16" ht="18.75" customHeight="1">
      <c r="A387" s="72" t="s">
        <v>317</v>
      </c>
      <c r="B387" s="11" t="s">
        <v>38</v>
      </c>
      <c r="C387" s="11" t="s">
        <v>11</v>
      </c>
      <c r="D387" s="11">
        <v>14</v>
      </c>
      <c r="E387" s="11" t="s">
        <v>26</v>
      </c>
      <c r="F387" s="11" t="s">
        <v>17</v>
      </c>
      <c r="G387" s="11" t="s">
        <v>15</v>
      </c>
      <c r="H387" s="11">
        <v>11270</v>
      </c>
      <c r="I387" s="11" t="s">
        <v>71</v>
      </c>
      <c r="J387" s="12" t="s">
        <v>58</v>
      </c>
      <c r="K387" s="12">
        <v>1.635</v>
      </c>
      <c r="L387" s="12">
        <v>2018</v>
      </c>
      <c r="M387" s="32">
        <v>2616195.9</v>
      </c>
      <c r="N387" s="24">
        <v>0</v>
      </c>
      <c r="O387" s="24">
        <v>0</v>
      </c>
      <c r="P387" s="25">
        <f t="shared" si="29"/>
        <v>0</v>
      </c>
    </row>
    <row r="388" spans="1:16" ht="15.75">
      <c r="A388" s="73" t="s">
        <v>88</v>
      </c>
      <c r="B388" s="40"/>
      <c r="C388" s="40"/>
      <c r="D388" s="40"/>
      <c r="E388" s="40"/>
      <c r="F388" s="40"/>
      <c r="G388" s="40"/>
      <c r="H388" s="40"/>
      <c r="I388" s="40"/>
      <c r="J388" s="12"/>
      <c r="K388" s="12"/>
      <c r="L388" s="12"/>
      <c r="M388" s="31">
        <f>M389</f>
        <v>659756</v>
      </c>
      <c r="N388" s="31">
        <f>N389</f>
        <v>173040.6</v>
      </c>
      <c r="O388" s="31">
        <f>O389</f>
        <v>0</v>
      </c>
      <c r="P388" s="25">
        <f t="shared" si="29"/>
        <v>0</v>
      </c>
    </row>
    <row r="389" spans="1:16" ht="31.5">
      <c r="A389" s="10" t="s">
        <v>324</v>
      </c>
      <c r="B389" s="11" t="s">
        <v>38</v>
      </c>
      <c r="C389" s="11" t="s">
        <v>11</v>
      </c>
      <c r="D389" s="11">
        <v>14</v>
      </c>
      <c r="E389" s="11" t="s">
        <v>26</v>
      </c>
      <c r="F389" s="11" t="s">
        <v>17</v>
      </c>
      <c r="G389" s="11" t="s">
        <v>15</v>
      </c>
      <c r="H389" s="11">
        <v>11270</v>
      </c>
      <c r="I389" s="11" t="s">
        <v>71</v>
      </c>
      <c r="J389" s="12" t="s">
        <v>58</v>
      </c>
      <c r="K389" s="12">
        <v>5.9</v>
      </c>
      <c r="L389" s="12">
        <v>2017</v>
      </c>
      <c r="M389" s="32">
        <v>659756</v>
      </c>
      <c r="N389" s="24">
        <v>173040.6</v>
      </c>
      <c r="O389" s="24">
        <v>0</v>
      </c>
      <c r="P389" s="24">
        <f t="shared" si="29"/>
        <v>0</v>
      </c>
    </row>
    <row r="390" spans="1:16" ht="15.75">
      <c r="A390" s="73" t="s">
        <v>161</v>
      </c>
      <c r="B390" s="40"/>
      <c r="C390" s="40"/>
      <c r="D390" s="40"/>
      <c r="E390" s="40"/>
      <c r="F390" s="40"/>
      <c r="G390" s="40"/>
      <c r="H390" s="40"/>
      <c r="I390" s="40"/>
      <c r="J390" s="12"/>
      <c r="K390" s="12"/>
      <c r="L390" s="12"/>
      <c r="M390" s="31">
        <f>M391</f>
        <v>708041.65</v>
      </c>
      <c r="N390" s="31">
        <f>N391</f>
        <v>625750.75</v>
      </c>
      <c r="O390" s="31">
        <f>O391</f>
        <v>625750.75</v>
      </c>
      <c r="P390" s="25">
        <f t="shared" si="29"/>
        <v>88.37767523986759</v>
      </c>
    </row>
    <row r="391" spans="1:16" ht="15.75">
      <c r="A391" s="103" t="s">
        <v>326</v>
      </c>
      <c r="B391" s="11" t="s">
        <v>38</v>
      </c>
      <c r="C391" s="11" t="s">
        <v>11</v>
      </c>
      <c r="D391" s="11">
        <v>14</v>
      </c>
      <c r="E391" s="11" t="s">
        <v>26</v>
      </c>
      <c r="F391" s="11" t="s">
        <v>17</v>
      </c>
      <c r="G391" s="11" t="s">
        <v>15</v>
      </c>
      <c r="H391" s="11">
        <v>11270</v>
      </c>
      <c r="I391" s="11" t="s">
        <v>71</v>
      </c>
      <c r="J391" s="12" t="s">
        <v>58</v>
      </c>
      <c r="K391" s="12">
        <v>0.211</v>
      </c>
      <c r="L391" s="12">
        <v>2017</v>
      </c>
      <c r="M391" s="32">
        <f>1184600-476558.35</f>
        <v>708041.65</v>
      </c>
      <c r="N391" s="32">
        <v>625750.75</v>
      </c>
      <c r="O391" s="32">
        <v>625750.75</v>
      </c>
      <c r="P391" s="24">
        <f t="shared" si="29"/>
        <v>88.37767523986759</v>
      </c>
    </row>
    <row r="392" spans="1:16" ht="15.75">
      <c r="A392" s="73" t="s">
        <v>55</v>
      </c>
      <c r="B392" s="11"/>
      <c r="C392" s="11"/>
      <c r="D392" s="11"/>
      <c r="E392" s="11"/>
      <c r="F392" s="11"/>
      <c r="G392" s="11"/>
      <c r="H392" s="11"/>
      <c r="I392" s="11"/>
      <c r="J392" s="12"/>
      <c r="K392" s="12"/>
      <c r="L392" s="12"/>
      <c r="M392" s="31">
        <f>M393+M394</f>
        <v>2738000</v>
      </c>
      <c r="N392" s="31">
        <f>N393+N394</f>
        <v>0</v>
      </c>
      <c r="O392" s="31">
        <f>O393+O394</f>
        <v>0</v>
      </c>
      <c r="P392" s="25">
        <f t="shared" si="29"/>
        <v>0</v>
      </c>
    </row>
    <row r="393" spans="1:16" ht="31.5">
      <c r="A393" s="72" t="s">
        <v>328</v>
      </c>
      <c r="B393" s="11" t="s">
        <v>38</v>
      </c>
      <c r="C393" s="11" t="s">
        <v>11</v>
      </c>
      <c r="D393" s="11">
        <v>14</v>
      </c>
      <c r="E393" s="11" t="s">
        <v>26</v>
      </c>
      <c r="F393" s="11" t="s">
        <v>17</v>
      </c>
      <c r="G393" s="11" t="s">
        <v>15</v>
      </c>
      <c r="H393" s="11">
        <v>11270</v>
      </c>
      <c r="I393" s="11" t="s">
        <v>71</v>
      </c>
      <c r="J393" s="12" t="s">
        <v>231</v>
      </c>
      <c r="K393" s="12">
        <v>50</v>
      </c>
      <c r="L393" s="12">
        <v>2017</v>
      </c>
      <c r="M393" s="32">
        <v>1200000</v>
      </c>
      <c r="N393" s="32">
        <v>0</v>
      </c>
      <c r="O393" s="32">
        <v>0</v>
      </c>
      <c r="P393" s="24">
        <f t="shared" si="29"/>
        <v>0</v>
      </c>
    </row>
    <row r="394" spans="1:16" ht="31.5">
      <c r="A394" s="72" t="s">
        <v>327</v>
      </c>
      <c r="B394" s="11" t="s">
        <v>38</v>
      </c>
      <c r="C394" s="11" t="s">
        <v>11</v>
      </c>
      <c r="D394" s="11">
        <v>14</v>
      </c>
      <c r="E394" s="11" t="s">
        <v>26</v>
      </c>
      <c r="F394" s="11" t="s">
        <v>17</v>
      </c>
      <c r="G394" s="11" t="s">
        <v>15</v>
      </c>
      <c r="H394" s="11">
        <v>11270</v>
      </c>
      <c r="I394" s="11" t="s">
        <v>71</v>
      </c>
      <c r="J394" s="12" t="s">
        <v>231</v>
      </c>
      <c r="K394" s="12">
        <v>50</v>
      </c>
      <c r="L394" s="12">
        <v>2017</v>
      </c>
      <c r="M394" s="32">
        <v>1538000</v>
      </c>
      <c r="N394" s="32">
        <v>0</v>
      </c>
      <c r="O394" s="32">
        <v>0</v>
      </c>
      <c r="P394" s="24">
        <f t="shared" si="29"/>
        <v>0</v>
      </c>
    </row>
    <row r="395" spans="1:16" ht="15.75">
      <c r="A395" s="73" t="s">
        <v>97</v>
      </c>
      <c r="B395" s="11"/>
      <c r="C395" s="11"/>
      <c r="D395" s="11"/>
      <c r="E395" s="11"/>
      <c r="F395" s="11"/>
      <c r="G395" s="11"/>
      <c r="H395" s="11"/>
      <c r="I395" s="11"/>
      <c r="J395" s="12"/>
      <c r="K395" s="12"/>
      <c r="L395" s="12"/>
      <c r="M395" s="31">
        <f>M396</f>
        <v>2597744.9</v>
      </c>
      <c r="N395" s="31">
        <f>N396</f>
        <v>1064567.2</v>
      </c>
      <c r="O395" s="31">
        <f>O396</f>
        <v>1064567.2</v>
      </c>
      <c r="P395" s="25">
        <f t="shared" si="29"/>
        <v>40.98043653170102</v>
      </c>
    </row>
    <row r="396" spans="1:16" ht="33.75" customHeight="1">
      <c r="A396" s="72" t="s">
        <v>338</v>
      </c>
      <c r="B396" s="11" t="s">
        <v>38</v>
      </c>
      <c r="C396" s="11" t="s">
        <v>11</v>
      </c>
      <c r="D396" s="11">
        <v>14</v>
      </c>
      <c r="E396" s="11" t="s">
        <v>26</v>
      </c>
      <c r="F396" s="11" t="s">
        <v>17</v>
      </c>
      <c r="G396" s="11" t="s">
        <v>15</v>
      </c>
      <c r="H396" s="11">
        <v>11270</v>
      </c>
      <c r="I396" s="11" t="s">
        <v>71</v>
      </c>
      <c r="J396" s="12" t="s">
        <v>58</v>
      </c>
      <c r="K396" s="12">
        <v>1.379</v>
      </c>
      <c r="L396" s="12">
        <v>2017</v>
      </c>
      <c r="M396" s="32">
        <f>3789442-1191697.1</f>
        <v>2597744.9</v>
      </c>
      <c r="N396" s="32">
        <v>1064567.2</v>
      </c>
      <c r="O396" s="32">
        <v>1064567.2</v>
      </c>
      <c r="P396" s="24">
        <f t="shared" si="29"/>
        <v>40.98043653170102</v>
      </c>
    </row>
    <row r="397" spans="1:16" ht="17.25" customHeight="1">
      <c r="A397" s="39" t="s">
        <v>61</v>
      </c>
      <c r="B397" s="40"/>
      <c r="C397" s="40"/>
      <c r="D397" s="40"/>
      <c r="E397" s="40"/>
      <c r="F397" s="40"/>
      <c r="G397" s="40"/>
      <c r="H397" s="40"/>
      <c r="I397" s="40"/>
      <c r="J397" s="12"/>
      <c r="K397" s="12"/>
      <c r="L397" s="12"/>
      <c r="M397" s="31">
        <f>M398</f>
        <v>2503765.95</v>
      </c>
      <c r="N397" s="31">
        <f>N398</f>
        <v>174712.5</v>
      </c>
      <c r="O397" s="31">
        <f>O398</f>
        <v>174712.5</v>
      </c>
      <c r="P397" s="25">
        <f>O397/M397*100</f>
        <v>6.977988497686854</v>
      </c>
    </row>
    <row r="398" spans="1:16" ht="31.5" customHeight="1">
      <c r="A398" s="61" t="s">
        <v>150</v>
      </c>
      <c r="B398" s="11" t="s">
        <v>38</v>
      </c>
      <c r="C398" s="11" t="s">
        <v>11</v>
      </c>
      <c r="D398" s="11">
        <v>14</v>
      </c>
      <c r="E398" s="11" t="s">
        <v>26</v>
      </c>
      <c r="F398" s="11" t="s">
        <v>17</v>
      </c>
      <c r="G398" s="11" t="s">
        <v>15</v>
      </c>
      <c r="H398" s="11">
        <v>11270</v>
      </c>
      <c r="I398" s="11" t="s">
        <v>71</v>
      </c>
      <c r="J398" s="12" t="s">
        <v>58</v>
      </c>
      <c r="K398" s="12">
        <v>0.025</v>
      </c>
      <c r="L398" s="12">
        <v>2018</v>
      </c>
      <c r="M398" s="32">
        <f>410173.9+2093592.05</f>
        <v>2503765.95</v>
      </c>
      <c r="N398" s="32">
        <v>174712.5</v>
      </c>
      <c r="O398" s="32">
        <v>174712.5</v>
      </c>
      <c r="P398" s="24">
        <f>O398/M398*100</f>
        <v>6.977988497686854</v>
      </c>
    </row>
    <row r="399" spans="1:16" ht="36" customHeight="1" hidden="1">
      <c r="A399" s="73" t="s">
        <v>81</v>
      </c>
      <c r="B399" s="11"/>
      <c r="C399" s="11"/>
      <c r="D399" s="11"/>
      <c r="E399" s="11"/>
      <c r="F399" s="11"/>
      <c r="G399" s="11"/>
      <c r="H399" s="11"/>
      <c r="I399" s="11"/>
      <c r="J399" s="62"/>
      <c r="K399" s="62"/>
      <c r="L399" s="12"/>
      <c r="M399" s="25">
        <f>M400</f>
        <v>0</v>
      </c>
      <c r="N399" s="32"/>
      <c r="O399" s="32"/>
      <c r="P399" s="25" t="e">
        <f t="shared" si="29"/>
        <v>#DIV/0!</v>
      </c>
    </row>
    <row r="400" spans="1:16" ht="15.75" hidden="1">
      <c r="A400" s="61" t="s">
        <v>117</v>
      </c>
      <c r="B400" s="11" t="s">
        <v>38</v>
      </c>
      <c r="C400" s="11" t="s">
        <v>11</v>
      </c>
      <c r="D400" s="11">
        <v>14</v>
      </c>
      <c r="E400" s="11" t="s">
        <v>26</v>
      </c>
      <c r="F400" s="11" t="s">
        <v>17</v>
      </c>
      <c r="G400" s="11" t="s">
        <v>15</v>
      </c>
      <c r="H400" s="11">
        <v>11270</v>
      </c>
      <c r="I400" s="11" t="s">
        <v>71</v>
      </c>
      <c r="J400" s="62" t="s">
        <v>58</v>
      </c>
      <c r="K400" s="62">
        <v>5</v>
      </c>
      <c r="L400" s="12">
        <v>2016</v>
      </c>
      <c r="M400" s="24">
        <v>0</v>
      </c>
      <c r="N400" s="32"/>
      <c r="O400" s="32"/>
      <c r="P400" s="25" t="e">
        <f t="shared" si="29"/>
        <v>#DIV/0!</v>
      </c>
    </row>
    <row r="401" spans="1:16" ht="17.25" customHeight="1">
      <c r="A401" s="39" t="s">
        <v>118</v>
      </c>
      <c r="B401" s="11"/>
      <c r="C401" s="11"/>
      <c r="D401" s="11"/>
      <c r="E401" s="11"/>
      <c r="F401" s="11"/>
      <c r="G401" s="11"/>
      <c r="H401" s="11"/>
      <c r="I401" s="11"/>
      <c r="J401" s="62"/>
      <c r="K401" s="62"/>
      <c r="L401" s="12"/>
      <c r="M401" s="25">
        <f>M402</f>
        <v>2377600</v>
      </c>
      <c r="N401" s="25">
        <f>N402</f>
        <v>0</v>
      </c>
      <c r="O401" s="25">
        <f>O402</f>
        <v>0</v>
      </c>
      <c r="P401" s="25">
        <f t="shared" si="29"/>
        <v>0</v>
      </c>
    </row>
    <row r="402" spans="1:16" ht="31.5">
      <c r="A402" s="61" t="s">
        <v>339</v>
      </c>
      <c r="B402" s="11" t="s">
        <v>38</v>
      </c>
      <c r="C402" s="11" t="s">
        <v>11</v>
      </c>
      <c r="D402" s="11">
        <v>14</v>
      </c>
      <c r="E402" s="11" t="s">
        <v>26</v>
      </c>
      <c r="F402" s="11" t="s">
        <v>17</v>
      </c>
      <c r="G402" s="11" t="s">
        <v>15</v>
      </c>
      <c r="H402" s="11">
        <v>11270</v>
      </c>
      <c r="I402" s="11" t="s">
        <v>71</v>
      </c>
      <c r="J402" s="62" t="s">
        <v>58</v>
      </c>
      <c r="K402" s="62">
        <v>5.23</v>
      </c>
      <c r="L402" s="12">
        <v>2017</v>
      </c>
      <c r="M402" s="24">
        <f>4330541-1952941</f>
        <v>2377600</v>
      </c>
      <c r="N402" s="32">
        <v>0</v>
      </c>
      <c r="O402" s="32">
        <v>0</v>
      </c>
      <c r="P402" s="24">
        <f t="shared" si="29"/>
        <v>0</v>
      </c>
    </row>
    <row r="403" spans="1:16" ht="20.25" customHeight="1">
      <c r="A403" s="73" t="s">
        <v>82</v>
      </c>
      <c r="B403" s="11"/>
      <c r="C403" s="11"/>
      <c r="D403" s="11"/>
      <c r="E403" s="11"/>
      <c r="F403" s="11"/>
      <c r="G403" s="11"/>
      <c r="H403" s="11"/>
      <c r="I403" s="11"/>
      <c r="J403" s="62"/>
      <c r="K403" s="62"/>
      <c r="L403" s="12"/>
      <c r="M403" s="25">
        <f>M404</f>
        <v>2534334.4</v>
      </c>
      <c r="N403" s="25">
        <f>N404</f>
        <v>1220753.27</v>
      </c>
      <c r="O403" s="25">
        <f>O404</f>
        <v>1220753.27</v>
      </c>
      <c r="P403" s="25">
        <f t="shared" si="29"/>
        <v>48.168594878402786</v>
      </c>
    </row>
    <row r="404" spans="1:16" ht="16.5" customHeight="1">
      <c r="A404" s="100" t="s">
        <v>154</v>
      </c>
      <c r="B404" s="67" t="s">
        <v>38</v>
      </c>
      <c r="C404" s="67">
        <v>2</v>
      </c>
      <c r="D404" s="67">
        <v>14</v>
      </c>
      <c r="E404" s="67" t="s">
        <v>26</v>
      </c>
      <c r="F404" s="67" t="s">
        <v>17</v>
      </c>
      <c r="G404" s="67" t="s">
        <v>15</v>
      </c>
      <c r="H404" s="67">
        <v>11270</v>
      </c>
      <c r="I404" s="67">
        <v>522</v>
      </c>
      <c r="J404" s="12" t="s">
        <v>58</v>
      </c>
      <c r="K404" s="92">
        <v>0.02</v>
      </c>
      <c r="L404" s="12">
        <v>2017</v>
      </c>
      <c r="M404" s="29">
        <f>1900000+900000-265665.6</f>
        <v>2534334.4</v>
      </c>
      <c r="N404" s="32">
        <v>1220753.27</v>
      </c>
      <c r="O404" s="32">
        <v>1220753.27</v>
      </c>
      <c r="P404" s="25">
        <f t="shared" si="29"/>
        <v>48.168594878402786</v>
      </c>
    </row>
    <row r="405" spans="1:16" ht="19.5" customHeight="1">
      <c r="A405" s="73" t="s">
        <v>66</v>
      </c>
      <c r="B405" s="67"/>
      <c r="C405" s="67"/>
      <c r="D405" s="67"/>
      <c r="E405" s="67"/>
      <c r="F405" s="67"/>
      <c r="G405" s="67"/>
      <c r="H405" s="67"/>
      <c r="I405" s="67"/>
      <c r="J405" s="12"/>
      <c r="K405" s="12"/>
      <c r="L405" s="12"/>
      <c r="M405" s="25">
        <f>M406</f>
        <v>1146950.72</v>
      </c>
      <c r="N405" s="25">
        <f>N406</f>
        <v>0</v>
      </c>
      <c r="O405" s="25">
        <f>O406</f>
        <v>0</v>
      </c>
      <c r="P405" s="25">
        <f t="shared" si="29"/>
        <v>0</v>
      </c>
    </row>
    <row r="406" spans="1:16" ht="32.25" customHeight="1">
      <c r="A406" s="61" t="s">
        <v>162</v>
      </c>
      <c r="B406" s="11" t="s">
        <v>38</v>
      </c>
      <c r="C406" s="11" t="s">
        <v>11</v>
      </c>
      <c r="D406" s="11">
        <v>14</v>
      </c>
      <c r="E406" s="11" t="s">
        <v>26</v>
      </c>
      <c r="F406" s="11" t="s">
        <v>17</v>
      </c>
      <c r="G406" s="11" t="s">
        <v>15</v>
      </c>
      <c r="H406" s="11">
        <v>11270</v>
      </c>
      <c r="I406" s="11" t="s">
        <v>71</v>
      </c>
      <c r="J406" s="12" t="s">
        <v>58</v>
      </c>
      <c r="K406" s="12">
        <v>0.073</v>
      </c>
      <c r="L406" s="12">
        <v>2017</v>
      </c>
      <c r="M406" s="24">
        <f>535532.1+611418.62</f>
        <v>1146950.72</v>
      </c>
      <c r="N406" s="32">
        <v>0</v>
      </c>
      <c r="O406" s="32">
        <v>0</v>
      </c>
      <c r="P406" s="24">
        <f t="shared" si="29"/>
        <v>0</v>
      </c>
    </row>
    <row r="407" spans="1:16" ht="34.5" customHeight="1">
      <c r="A407" s="104" t="s">
        <v>108</v>
      </c>
      <c r="B407" s="40" t="s">
        <v>38</v>
      </c>
      <c r="C407" s="40" t="s">
        <v>11</v>
      </c>
      <c r="D407" s="40">
        <v>14</v>
      </c>
      <c r="E407" s="40" t="s">
        <v>26</v>
      </c>
      <c r="F407" s="40" t="s">
        <v>17</v>
      </c>
      <c r="G407" s="40" t="s">
        <v>15</v>
      </c>
      <c r="H407" s="40">
        <v>11270</v>
      </c>
      <c r="I407" s="40" t="s">
        <v>71</v>
      </c>
      <c r="J407" s="62"/>
      <c r="K407" s="62"/>
      <c r="L407" s="12"/>
      <c r="M407" s="25">
        <f>M409+M413</f>
        <v>10136272.760000002</v>
      </c>
      <c r="N407" s="25">
        <f>N409+N413</f>
        <v>6015317.23</v>
      </c>
      <c r="O407" s="25">
        <f>O409+O413</f>
        <v>6015317.23</v>
      </c>
      <c r="P407" s="25">
        <f t="shared" si="29"/>
        <v>59.34446884398955</v>
      </c>
    </row>
    <row r="408" spans="1:16" ht="18" customHeight="1">
      <c r="A408" s="104" t="s">
        <v>155</v>
      </c>
      <c r="B408" s="40"/>
      <c r="C408" s="40"/>
      <c r="D408" s="40"/>
      <c r="E408" s="40"/>
      <c r="F408" s="40"/>
      <c r="G408" s="40"/>
      <c r="H408" s="40"/>
      <c r="I408" s="40"/>
      <c r="J408" s="62"/>
      <c r="K408" s="62"/>
      <c r="L408" s="12"/>
      <c r="M408" s="25">
        <f>M409</f>
        <v>6822708.760000001</v>
      </c>
      <c r="N408" s="25">
        <f>N409</f>
        <v>6015317.23</v>
      </c>
      <c r="O408" s="25">
        <f>O409</f>
        <v>6015317.23</v>
      </c>
      <c r="P408" s="25">
        <f t="shared" si="29"/>
        <v>88.16611468551092</v>
      </c>
    </row>
    <row r="409" spans="1:16" ht="34.5" customHeight="1">
      <c r="A409" s="105" t="s">
        <v>323</v>
      </c>
      <c r="B409" s="11" t="s">
        <v>38</v>
      </c>
      <c r="C409" s="11" t="s">
        <v>11</v>
      </c>
      <c r="D409" s="11">
        <v>14</v>
      </c>
      <c r="E409" s="11" t="s">
        <v>26</v>
      </c>
      <c r="F409" s="11" t="s">
        <v>17</v>
      </c>
      <c r="G409" s="11" t="s">
        <v>15</v>
      </c>
      <c r="H409" s="11">
        <v>11270</v>
      </c>
      <c r="I409" s="11" t="s">
        <v>71</v>
      </c>
      <c r="J409" s="62" t="s">
        <v>132</v>
      </c>
      <c r="K409" s="62">
        <v>300</v>
      </c>
      <c r="L409" s="12">
        <v>2017</v>
      </c>
      <c r="M409" s="24">
        <f>9558096.3-2735387.54</f>
        <v>6822708.760000001</v>
      </c>
      <c r="N409" s="24">
        <v>6015317.23</v>
      </c>
      <c r="O409" s="24">
        <v>6015317.23</v>
      </c>
      <c r="P409" s="24">
        <f aca="true" t="shared" si="32" ref="P409:P466">O409/M409*100</f>
        <v>88.16611468551092</v>
      </c>
    </row>
    <row r="410" spans="1:16" ht="38.25" customHeight="1" hidden="1">
      <c r="A410" s="94" t="s">
        <v>66</v>
      </c>
      <c r="B410" s="11"/>
      <c r="C410" s="11"/>
      <c r="D410" s="11"/>
      <c r="E410" s="11"/>
      <c r="F410" s="11"/>
      <c r="G410" s="11"/>
      <c r="H410" s="11"/>
      <c r="I410" s="11"/>
      <c r="J410" s="62"/>
      <c r="K410" s="62"/>
      <c r="L410" s="12"/>
      <c r="M410" s="25">
        <f>M411</f>
        <v>0</v>
      </c>
      <c r="N410" s="25"/>
      <c r="O410" s="25"/>
      <c r="P410" s="25" t="e">
        <f t="shared" si="32"/>
        <v>#DIV/0!</v>
      </c>
    </row>
    <row r="411" spans="1:16" ht="36.75" customHeight="1" hidden="1">
      <c r="A411" s="10" t="s">
        <v>160</v>
      </c>
      <c r="B411" s="11" t="s">
        <v>38</v>
      </c>
      <c r="C411" s="11" t="s">
        <v>11</v>
      </c>
      <c r="D411" s="11">
        <v>14</v>
      </c>
      <c r="E411" s="11" t="s">
        <v>26</v>
      </c>
      <c r="F411" s="11" t="s">
        <v>17</v>
      </c>
      <c r="G411" s="11" t="s">
        <v>15</v>
      </c>
      <c r="H411" s="11">
        <v>11270</v>
      </c>
      <c r="I411" s="11" t="s">
        <v>71</v>
      </c>
      <c r="J411" s="62" t="s">
        <v>132</v>
      </c>
      <c r="K411" s="62">
        <v>400</v>
      </c>
      <c r="L411" s="12">
        <v>2017</v>
      </c>
      <c r="M411" s="24">
        <v>0</v>
      </c>
      <c r="N411" s="25"/>
      <c r="O411" s="25"/>
      <c r="P411" s="25" t="e">
        <f t="shared" si="32"/>
        <v>#DIV/0!</v>
      </c>
    </row>
    <row r="412" spans="1:16" ht="15.75">
      <c r="A412" s="104" t="s">
        <v>118</v>
      </c>
      <c r="B412" s="11"/>
      <c r="C412" s="11"/>
      <c r="D412" s="11"/>
      <c r="E412" s="11"/>
      <c r="F412" s="11"/>
      <c r="G412" s="11"/>
      <c r="H412" s="11"/>
      <c r="I412" s="11"/>
      <c r="J412" s="62"/>
      <c r="K412" s="62"/>
      <c r="L412" s="12"/>
      <c r="M412" s="25">
        <f>M413</f>
        <v>3313564</v>
      </c>
      <c r="N412" s="25">
        <f>N413</f>
        <v>0</v>
      </c>
      <c r="O412" s="25">
        <f>O413</f>
        <v>0</v>
      </c>
      <c r="P412" s="25">
        <f t="shared" si="32"/>
        <v>0</v>
      </c>
    </row>
    <row r="413" spans="1:16" ht="20.25" customHeight="1">
      <c r="A413" s="10" t="s">
        <v>315</v>
      </c>
      <c r="B413" s="11" t="s">
        <v>38</v>
      </c>
      <c r="C413" s="11" t="s">
        <v>11</v>
      </c>
      <c r="D413" s="11">
        <v>14</v>
      </c>
      <c r="E413" s="11" t="s">
        <v>26</v>
      </c>
      <c r="F413" s="11" t="s">
        <v>17</v>
      </c>
      <c r="G413" s="11" t="s">
        <v>15</v>
      </c>
      <c r="H413" s="11">
        <v>11270</v>
      </c>
      <c r="I413" s="11" t="s">
        <v>71</v>
      </c>
      <c r="J413" s="62" t="s">
        <v>132</v>
      </c>
      <c r="K413" s="62">
        <v>185.6</v>
      </c>
      <c r="L413" s="12">
        <v>2017</v>
      </c>
      <c r="M413" s="24">
        <v>3313564</v>
      </c>
      <c r="N413" s="24">
        <v>0</v>
      </c>
      <c r="O413" s="24">
        <v>0</v>
      </c>
      <c r="P413" s="24">
        <f t="shared" si="32"/>
        <v>0</v>
      </c>
    </row>
    <row r="414" spans="1:16" ht="15.75">
      <c r="A414" s="45" t="s">
        <v>41</v>
      </c>
      <c r="B414" s="40" t="s">
        <v>38</v>
      </c>
      <c r="C414" s="40" t="s">
        <v>12</v>
      </c>
      <c r="D414" s="40"/>
      <c r="E414" s="106" t="s">
        <v>0</v>
      </c>
      <c r="F414" s="106" t="s">
        <v>0</v>
      </c>
      <c r="G414" s="106" t="s">
        <v>0</v>
      </c>
      <c r="H414" s="11"/>
      <c r="I414" s="11"/>
      <c r="J414" s="41"/>
      <c r="K414" s="41"/>
      <c r="L414" s="42"/>
      <c r="M414" s="31">
        <f>M416</f>
        <v>166349650.7</v>
      </c>
      <c r="N414" s="31">
        <f>N416</f>
        <v>41292502.3</v>
      </c>
      <c r="O414" s="31">
        <f>O416</f>
        <v>41292502.3</v>
      </c>
      <c r="P414" s="25">
        <f t="shared" si="32"/>
        <v>24.822716564922732</v>
      </c>
    </row>
    <row r="415" spans="1:16" ht="47.25">
      <c r="A415" s="14" t="s">
        <v>103</v>
      </c>
      <c r="B415" s="63" t="s">
        <v>38</v>
      </c>
      <c r="C415" s="63" t="s">
        <v>12</v>
      </c>
      <c r="D415" s="63">
        <v>21</v>
      </c>
      <c r="E415" s="106"/>
      <c r="F415" s="106"/>
      <c r="G415" s="106"/>
      <c r="H415" s="11"/>
      <c r="I415" s="11"/>
      <c r="J415" s="41"/>
      <c r="K415" s="41"/>
      <c r="L415" s="42"/>
      <c r="M415" s="31">
        <f>M416</f>
        <v>166349650.7</v>
      </c>
      <c r="N415" s="31">
        <f aca="true" t="shared" si="33" ref="N415:O418">N416</f>
        <v>41292502.3</v>
      </c>
      <c r="O415" s="31">
        <f t="shared" si="33"/>
        <v>41292502.3</v>
      </c>
      <c r="P415" s="25">
        <f t="shared" si="32"/>
        <v>24.822716564922732</v>
      </c>
    </row>
    <row r="416" spans="1:16" ht="15.75">
      <c r="A416" s="45" t="s">
        <v>25</v>
      </c>
      <c r="B416" s="40" t="s">
        <v>38</v>
      </c>
      <c r="C416" s="40" t="s">
        <v>12</v>
      </c>
      <c r="D416" s="63">
        <v>21</v>
      </c>
      <c r="E416" s="40" t="s">
        <v>26</v>
      </c>
      <c r="F416" s="106"/>
      <c r="G416" s="106"/>
      <c r="H416" s="11"/>
      <c r="I416" s="11"/>
      <c r="J416" s="41"/>
      <c r="K416" s="41"/>
      <c r="L416" s="42"/>
      <c r="M416" s="31">
        <f>M417</f>
        <v>166349650.7</v>
      </c>
      <c r="N416" s="31">
        <f t="shared" si="33"/>
        <v>41292502.3</v>
      </c>
      <c r="O416" s="31">
        <f t="shared" si="33"/>
        <v>41292502.3</v>
      </c>
      <c r="P416" s="25">
        <f t="shared" si="32"/>
        <v>24.822716564922732</v>
      </c>
    </row>
    <row r="417" spans="1:16" ht="15.75">
      <c r="A417" s="45" t="s">
        <v>18</v>
      </c>
      <c r="B417" s="40" t="s">
        <v>38</v>
      </c>
      <c r="C417" s="40" t="s">
        <v>12</v>
      </c>
      <c r="D417" s="63">
        <v>21</v>
      </c>
      <c r="E417" s="40" t="s">
        <v>26</v>
      </c>
      <c r="F417" s="40" t="s">
        <v>16</v>
      </c>
      <c r="G417" s="40" t="s">
        <v>0</v>
      </c>
      <c r="H417" s="11"/>
      <c r="I417" s="11"/>
      <c r="J417" s="41"/>
      <c r="K417" s="41"/>
      <c r="L417" s="42"/>
      <c r="M417" s="31">
        <f>M418</f>
        <v>166349650.7</v>
      </c>
      <c r="N417" s="31">
        <f t="shared" si="33"/>
        <v>41292502.3</v>
      </c>
      <c r="O417" s="31">
        <f t="shared" si="33"/>
        <v>41292502.3</v>
      </c>
      <c r="P417" s="25">
        <f t="shared" si="32"/>
        <v>24.822716564922732</v>
      </c>
    </row>
    <row r="418" spans="1:16" ht="18.75" customHeight="1">
      <c r="A418" s="45" t="s">
        <v>42</v>
      </c>
      <c r="B418" s="40" t="s">
        <v>38</v>
      </c>
      <c r="C418" s="40" t="s">
        <v>12</v>
      </c>
      <c r="D418" s="63">
        <v>21</v>
      </c>
      <c r="E418" s="40" t="s">
        <v>26</v>
      </c>
      <c r="F418" s="40" t="s">
        <v>16</v>
      </c>
      <c r="G418" s="40" t="s">
        <v>22</v>
      </c>
      <c r="H418" s="40"/>
      <c r="I418" s="40"/>
      <c r="J418" s="41"/>
      <c r="K418" s="41"/>
      <c r="L418" s="42"/>
      <c r="M418" s="31">
        <f>M419</f>
        <v>166349650.7</v>
      </c>
      <c r="N418" s="31">
        <f t="shared" si="33"/>
        <v>41292502.3</v>
      </c>
      <c r="O418" s="31">
        <f t="shared" si="33"/>
        <v>41292502.3</v>
      </c>
      <c r="P418" s="25">
        <f t="shared" si="32"/>
        <v>24.822716564922732</v>
      </c>
    </row>
    <row r="419" spans="1:16" ht="15.75" customHeight="1">
      <c r="A419" s="45" t="s">
        <v>73</v>
      </c>
      <c r="B419" s="40" t="s">
        <v>38</v>
      </c>
      <c r="C419" s="40" t="s">
        <v>12</v>
      </c>
      <c r="D419" s="63">
        <v>21</v>
      </c>
      <c r="E419" s="40" t="s">
        <v>26</v>
      </c>
      <c r="F419" s="40" t="s">
        <v>16</v>
      </c>
      <c r="G419" s="40" t="s">
        <v>22</v>
      </c>
      <c r="H419" s="40">
        <v>16160</v>
      </c>
      <c r="I419" s="40" t="s">
        <v>0</v>
      </c>
      <c r="J419" s="41"/>
      <c r="K419" s="41"/>
      <c r="L419" s="42"/>
      <c r="M419" s="31">
        <f>M421</f>
        <v>166349650.7</v>
      </c>
      <c r="N419" s="31">
        <f>N421</f>
        <v>41292502.3</v>
      </c>
      <c r="O419" s="31">
        <f>O421</f>
        <v>41292502.3</v>
      </c>
      <c r="P419" s="25">
        <f t="shared" si="32"/>
        <v>24.822716564922732</v>
      </c>
    </row>
    <row r="420" spans="1:16" ht="116.25" customHeight="1">
      <c r="A420" s="90" t="s">
        <v>120</v>
      </c>
      <c r="B420" s="40" t="s">
        <v>38</v>
      </c>
      <c r="C420" s="40" t="s">
        <v>12</v>
      </c>
      <c r="D420" s="63">
        <v>21</v>
      </c>
      <c r="E420" s="40" t="s">
        <v>26</v>
      </c>
      <c r="F420" s="40" t="s">
        <v>16</v>
      </c>
      <c r="G420" s="46" t="s">
        <v>22</v>
      </c>
      <c r="H420" s="63">
        <v>16160</v>
      </c>
      <c r="I420" s="107"/>
      <c r="J420" s="108"/>
      <c r="K420" s="108"/>
      <c r="L420" s="107"/>
      <c r="M420" s="31">
        <f>M421</f>
        <v>166349650.7</v>
      </c>
      <c r="N420" s="31">
        <f>N421</f>
        <v>41292502.3</v>
      </c>
      <c r="O420" s="31">
        <f>O421</f>
        <v>41292502.3</v>
      </c>
      <c r="P420" s="25">
        <f t="shared" si="32"/>
        <v>24.822716564922732</v>
      </c>
    </row>
    <row r="421" spans="1:16" ht="36" customHeight="1">
      <c r="A421" s="90" t="s">
        <v>70</v>
      </c>
      <c r="B421" s="40" t="s">
        <v>38</v>
      </c>
      <c r="C421" s="40" t="s">
        <v>12</v>
      </c>
      <c r="D421" s="63">
        <v>21</v>
      </c>
      <c r="E421" s="40" t="s">
        <v>26</v>
      </c>
      <c r="F421" s="40" t="s">
        <v>16</v>
      </c>
      <c r="G421" s="40" t="s">
        <v>22</v>
      </c>
      <c r="H421" s="40">
        <v>16160</v>
      </c>
      <c r="I421" s="40" t="s">
        <v>71</v>
      </c>
      <c r="J421" s="62"/>
      <c r="K421" s="62"/>
      <c r="L421" s="62"/>
      <c r="M421" s="31">
        <f>M422+M427</f>
        <v>166349650.7</v>
      </c>
      <c r="N421" s="31">
        <f>N422+N427</f>
        <v>41292502.3</v>
      </c>
      <c r="O421" s="31">
        <f>O422+O427</f>
        <v>41292502.3</v>
      </c>
      <c r="P421" s="25">
        <f t="shared" si="32"/>
        <v>24.822716564922732</v>
      </c>
    </row>
    <row r="422" spans="1:16" ht="21" customHeight="1">
      <c r="A422" s="45" t="s">
        <v>75</v>
      </c>
      <c r="B422" s="40"/>
      <c r="C422" s="40"/>
      <c r="D422" s="40"/>
      <c r="E422" s="40"/>
      <c r="F422" s="40"/>
      <c r="G422" s="40"/>
      <c r="H422" s="40"/>
      <c r="I422" s="40"/>
      <c r="J422" s="62"/>
      <c r="K422" s="62"/>
      <c r="L422" s="62"/>
      <c r="M422" s="31">
        <f>M423+M424+M425+M426</f>
        <v>166349650.7</v>
      </c>
      <c r="N422" s="31">
        <f>N423+N424+N425+N426</f>
        <v>41292502.3</v>
      </c>
      <c r="O422" s="31">
        <f>O423+O424+O425+O426</f>
        <v>41292502.3</v>
      </c>
      <c r="P422" s="25">
        <f t="shared" si="32"/>
        <v>24.822716564922732</v>
      </c>
    </row>
    <row r="423" spans="1:16" ht="36" customHeight="1">
      <c r="A423" s="43" t="s">
        <v>167</v>
      </c>
      <c r="B423" s="11" t="s">
        <v>38</v>
      </c>
      <c r="C423" s="11" t="s">
        <v>12</v>
      </c>
      <c r="D423" s="11">
        <v>21</v>
      </c>
      <c r="E423" s="11" t="s">
        <v>26</v>
      </c>
      <c r="F423" s="11" t="s">
        <v>16</v>
      </c>
      <c r="G423" s="11" t="s">
        <v>22</v>
      </c>
      <c r="H423" s="11">
        <v>16160</v>
      </c>
      <c r="I423" s="11" t="s">
        <v>71</v>
      </c>
      <c r="J423" s="62" t="s">
        <v>58</v>
      </c>
      <c r="K423" s="62">
        <v>0.271</v>
      </c>
      <c r="L423" s="62">
        <v>2018</v>
      </c>
      <c r="M423" s="32">
        <v>15600000</v>
      </c>
      <c r="N423" s="24">
        <v>0</v>
      </c>
      <c r="O423" s="24">
        <v>0</v>
      </c>
      <c r="P423" s="24">
        <f t="shared" si="32"/>
        <v>0</v>
      </c>
    </row>
    <row r="424" spans="1:16" ht="35.25" customHeight="1">
      <c r="A424" s="43" t="s">
        <v>310</v>
      </c>
      <c r="B424" s="11" t="s">
        <v>38</v>
      </c>
      <c r="C424" s="11" t="s">
        <v>12</v>
      </c>
      <c r="D424" s="11">
        <v>21</v>
      </c>
      <c r="E424" s="11" t="s">
        <v>26</v>
      </c>
      <c r="F424" s="11" t="s">
        <v>16</v>
      </c>
      <c r="G424" s="11" t="s">
        <v>22</v>
      </c>
      <c r="H424" s="11">
        <v>16160</v>
      </c>
      <c r="I424" s="11">
        <v>522</v>
      </c>
      <c r="J424" s="62" t="s">
        <v>58</v>
      </c>
      <c r="K424" s="62">
        <v>4.9</v>
      </c>
      <c r="L424" s="62">
        <v>2019</v>
      </c>
      <c r="M424" s="32">
        <v>50000000</v>
      </c>
      <c r="N424" s="24">
        <v>0</v>
      </c>
      <c r="O424" s="24">
        <v>0</v>
      </c>
      <c r="P424" s="24">
        <f t="shared" si="32"/>
        <v>0</v>
      </c>
    </row>
    <row r="425" spans="1:16" ht="51.75" customHeight="1">
      <c r="A425" s="43" t="s">
        <v>353</v>
      </c>
      <c r="B425" s="11" t="s">
        <v>38</v>
      </c>
      <c r="C425" s="11" t="s">
        <v>12</v>
      </c>
      <c r="D425" s="11">
        <v>21</v>
      </c>
      <c r="E425" s="11" t="s">
        <v>26</v>
      </c>
      <c r="F425" s="11" t="s">
        <v>16</v>
      </c>
      <c r="G425" s="11" t="s">
        <v>22</v>
      </c>
      <c r="H425" s="11">
        <v>16160</v>
      </c>
      <c r="I425" s="11">
        <v>522</v>
      </c>
      <c r="J425" s="62" t="s">
        <v>58</v>
      </c>
      <c r="K425" s="62">
        <v>1.6</v>
      </c>
      <c r="L425" s="62">
        <v>2017</v>
      </c>
      <c r="M425" s="32">
        <v>57000000</v>
      </c>
      <c r="N425" s="24">
        <v>0</v>
      </c>
      <c r="O425" s="24">
        <v>0</v>
      </c>
      <c r="P425" s="24">
        <f t="shared" si="32"/>
        <v>0</v>
      </c>
    </row>
    <row r="426" spans="1:16" ht="52.5" customHeight="1">
      <c r="A426" s="43" t="s">
        <v>311</v>
      </c>
      <c r="B426" s="11" t="s">
        <v>38</v>
      </c>
      <c r="C426" s="11" t="s">
        <v>12</v>
      </c>
      <c r="D426" s="11">
        <v>21</v>
      </c>
      <c r="E426" s="11" t="s">
        <v>26</v>
      </c>
      <c r="F426" s="11" t="s">
        <v>16</v>
      </c>
      <c r="G426" s="11" t="s">
        <v>22</v>
      </c>
      <c r="H426" s="11">
        <v>16160</v>
      </c>
      <c r="I426" s="11">
        <v>522</v>
      </c>
      <c r="J426" s="62" t="s">
        <v>58</v>
      </c>
      <c r="K426" s="62"/>
      <c r="L426" s="62"/>
      <c r="M426" s="32">
        <v>43749650.7</v>
      </c>
      <c r="N426" s="32">
        <v>41292502.3</v>
      </c>
      <c r="O426" s="32">
        <v>41292502.3</v>
      </c>
      <c r="P426" s="24">
        <f t="shared" si="32"/>
        <v>94.3836159587898</v>
      </c>
    </row>
    <row r="427" spans="1:16" ht="1.5" customHeight="1" hidden="1">
      <c r="A427" s="109" t="s">
        <v>60</v>
      </c>
      <c r="B427" s="11"/>
      <c r="C427" s="11"/>
      <c r="D427" s="11"/>
      <c r="E427" s="11"/>
      <c r="F427" s="11"/>
      <c r="G427" s="11"/>
      <c r="H427" s="11"/>
      <c r="I427" s="11"/>
      <c r="J427" s="62"/>
      <c r="K427" s="62"/>
      <c r="L427" s="62"/>
      <c r="M427" s="31">
        <f>M428</f>
        <v>0</v>
      </c>
      <c r="N427" s="31"/>
      <c r="O427" s="31"/>
      <c r="P427" s="24" t="e">
        <f t="shared" si="32"/>
        <v>#DIV/0!</v>
      </c>
    </row>
    <row r="428" spans="1:16" ht="31.5" hidden="1">
      <c r="A428" s="110" t="s">
        <v>168</v>
      </c>
      <c r="B428" s="11" t="s">
        <v>38</v>
      </c>
      <c r="C428" s="11" t="s">
        <v>12</v>
      </c>
      <c r="D428" s="11">
        <v>21</v>
      </c>
      <c r="E428" s="11" t="s">
        <v>26</v>
      </c>
      <c r="F428" s="11" t="s">
        <v>16</v>
      </c>
      <c r="G428" s="11" t="s">
        <v>22</v>
      </c>
      <c r="H428" s="11">
        <v>16160</v>
      </c>
      <c r="I428" s="11" t="s">
        <v>71</v>
      </c>
      <c r="J428" s="62" t="s">
        <v>58</v>
      </c>
      <c r="K428" s="62">
        <v>4</v>
      </c>
      <c r="L428" s="62">
        <v>2017</v>
      </c>
      <c r="M428" s="32">
        <v>0</v>
      </c>
      <c r="N428" s="31"/>
      <c r="O428" s="31"/>
      <c r="P428" s="24" t="e">
        <f t="shared" si="32"/>
        <v>#DIV/0!</v>
      </c>
    </row>
    <row r="429" spans="1:16" ht="51.75" customHeight="1">
      <c r="A429" s="111" t="s">
        <v>129</v>
      </c>
      <c r="B429" s="40">
        <v>20</v>
      </c>
      <c r="C429" s="40">
        <v>0</v>
      </c>
      <c r="D429" s="11"/>
      <c r="E429" s="11"/>
      <c r="F429" s="11"/>
      <c r="G429" s="11"/>
      <c r="H429" s="11"/>
      <c r="I429" s="11"/>
      <c r="J429" s="62"/>
      <c r="K429" s="62"/>
      <c r="L429" s="62"/>
      <c r="M429" s="31">
        <f>M431</f>
        <v>509316132.03999996</v>
      </c>
      <c r="N429" s="31">
        <f>N431</f>
        <v>456919399.01</v>
      </c>
      <c r="O429" s="31">
        <f>O431</f>
        <v>446073538.51</v>
      </c>
      <c r="P429" s="25">
        <f t="shared" si="32"/>
        <v>87.58284107815516</v>
      </c>
    </row>
    <row r="430" spans="1:16" ht="63">
      <c r="A430" s="109" t="s">
        <v>115</v>
      </c>
      <c r="B430" s="40">
        <v>20</v>
      </c>
      <c r="C430" s="40">
        <v>0</v>
      </c>
      <c r="D430" s="40">
        <v>11</v>
      </c>
      <c r="E430" s="11"/>
      <c r="F430" s="11"/>
      <c r="G430" s="11"/>
      <c r="H430" s="11"/>
      <c r="I430" s="11"/>
      <c r="J430" s="62"/>
      <c r="K430" s="62"/>
      <c r="L430" s="62"/>
      <c r="M430" s="31">
        <f>M431</f>
        <v>509316132.03999996</v>
      </c>
      <c r="N430" s="31">
        <f aca="true" t="shared" si="34" ref="N430:O433">N431</f>
        <v>456919399.01</v>
      </c>
      <c r="O430" s="31">
        <f t="shared" si="34"/>
        <v>446073538.51</v>
      </c>
      <c r="P430" s="25">
        <f t="shared" si="32"/>
        <v>87.58284107815516</v>
      </c>
    </row>
    <row r="431" spans="1:16" ht="15.75">
      <c r="A431" s="45" t="s">
        <v>36</v>
      </c>
      <c r="B431" s="40">
        <v>20</v>
      </c>
      <c r="C431" s="40">
        <v>0</v>
      </c>
      <c r="D431" s="40">
        <v>11</v>
      </c>
      <c r="E431" s="40" t="s">
        <v>26</v>
      </c>
      <c r="F431" s="40" t="s">
        <v>21</v>
      </c>
      <c r="G431" s="40" t="s">
        <v>15</v>
      </c>
      <c r="H431" s="40"/>
      <c r="I431" s="40"/>
      <c r="J431" s="62"/>
      <c r="K431" s="62"/>
      <c r="L431" s="62"/>
      <c r="M431" s="25">
        <f>M432</f>
        <v>509316132.03999996</v>
      </c>
      <c r="N431" s="25">
        <f t="shared" si="34"/>
        <v>456919399.01</v>
      </c>
      <c r="O431" s="25">
        <f t="shared" si="34"/>
        <v>446073538.51</v>
      </c>
      <c r="P431" s="25">
        <f t="shared" si="32"/>
        <v>87.58284107815516</v>
      </c>
    </row>
    <row r="432" spans="1:16" ht="31.5">
      <c r="A432" s="112" t="s">
        <v>74</v>
      </c>
      <c r="B432" s="40">
        <v>20</v>
      </c>
      <c r="C432" s="40">
        <v>0</v>
      </c>
      <c r="D432" s="40">
        <v>11</v>
      </c>
      <c r="E432" s="40" t="s">
        <v>26</v>
      </c>
      <c r="F432" s="40" t="s">
        <v>21</v>
      </c>
      <c r="G432" s="40" t="s">
        <v>15</v>
      </c>
      <c r="H432" s="40" t="s">
        <v>295</v>
      </c>
      <c r="I432" s="40"/>
      <c r="J432" s="62"/>
      <c r="K432" s="62"/>
      <c r="L432" s="62"/>
      <c r="M432" s="25">
        <f>M433</f>
        <v>509316132.03999996</v>
      </c>
      <c r="N432" s="25">
        <f t="shared" si="34"/>
        <v>456919399.01</v>
      </c>
      <c r="O432" s="25">
        <f t="shared" si="34"/>
        <v>446073538.51</v>
      </c>
      <c r="P432" s="25">
        <f t="shared" si="32"/>
        <v>87.58284107815516</v>
      </c>
    </row>
    <row r="433" spans="1:16" ht="15.75">
      <c r="A433" s="112" t="s">
        <v>127</v>
      </c>
      <c r="B433" s="40">
        <v>20</v>
      </c>
      <c r="C433" s="40">
        <v>0</v>
      </c>
      <c r="D433" s="40">
        <v>11</v>
      </c>
      <c r="E433" s="40" t="s">
        <v>26</v>
      </c>
      <c r="F433" s="40" t="s">
        <v>21</v>
      </c>
      <c r="G433" s="40" t="s">
        <v>15</v>
      </c>
      <c r="H433" s="40" t="s">
        <v>295</v>
      </c>
      <c r="I433" s="40"/>
      <c r="J433" s="62"/>
      <c r="K433" s="62"/>
      <c r="L433" s="62"/>
      <c r="M433" s="25">
        <f>M434</f>
        <v>509316132.03999996</v>
      </c>
      <c r="N433" s="25">
        <f t="shared" si="34"/>
        <v>456919399.01</v>
      </c>
      <c r="O433" s="25">
        <f t="shared" si="34"/>
        <v>446073538.51</v>
      </c>
      <c r="P433" s="25">
        <f t="shared" si="32"/>
        <v>87.58284107815516</v>
      </c>
    </row>
    <row r="434" spans="1:16" ht="31.5">
      <c r="A434" s="112" t="s">
        <v>70</v>
      </c>
      <c r="B434" s="40">
        <v>20</v>
      </c>
      <c r="C434" s="40">
        <v>0</v>
      </c>
      <c r="D434" s="40">
        <v>11</v>
      </c>
      <c r="E434" s="40" t="s">
        <v>26</v>
      </c>
      <c r="F434" s="40" t="s">
        <v>21</v>
      </c>
      <c r="G434" s="40" t="s">
        <v>15</v>
      </c>
      <c r="H434" s="40" t="s">
        <v>295</v>
      </c>
      <c r="I434" s="40" t="s">
        <v>71</v>
      </c>
      <c r="J434" s="62"/>
      <c r="K434" s="62"/>
      <c r="L434" s="62"/>
      <c r="M434" s="25">
        <f>M436+M441+M445</f>
        <v>509316132.03999996</v>
      </c>
      <c r="N434" s="25">
        <f>N436+N441+N445</f>
        <v>456919399.01</v>
      </c>
      <c r="O434" s="25">
        <f>O436+O441+O445</f>
        <v>446073538.51</v>
      </c>
      <c r="P434" s="25">
        <f t="shared" si="32"/>
        <v>87.58284107815516</v>
      </c>
    </row>
    <row r="435" spans="1:16" ht="15.75">
      <c r="A435" s="45" t="s">
        <v>116</v>
      </c>
      <c r="B435" s="11"/>
      <c r="C435" s="11"/>
      <c r="D435" s="74"/>
      <c r="E435" s="11"/>
      <c r="F435" s="11"/>
      <c r="G435" s="11"/>
      <c r="H435" s="11"/>
      <c r="I435" s="11"/>
      <c r="J435" s="62"/>
      <c r="K435" s="62"/>
      <c r="L435" s="62"/>
      <c r="M435" s="25">
        <f>M436</f>
        <v>177941888.10999998</v>
      </c>
      <c r="N435" s="25">
        <f>N436</f>
        <v>176918182.74</v>
      </c>
      <c r="O435" s="25">
        <f>O436</f>
        <v>176918182.73999998</v>
      </c>
      <c r="P435" s="25">
        <f t="shared" si="32"/>
        <v>99.4246968036176</v>
      </c>
    </row>
    <row r="436" spans="1:16" ht="33" customHeight="1">
      <c r="A436" s="10" t="s">
        <v>135</v>
      </c>
      <c r="B436" s="11">
        <v>20</v>
      </c>
      <c r="C436" s="11">
        <v>0</v>
      </c>
      <c r="D436" s="74" t="s">
        <v>13</v>
      </c>
      <c r="E436" s="11">
        <v>819</v>
      </c>
      <c r="F436" s="11" t="s">
        <v>21</v>
      </c>
      <c r="G436" s="11" t="s">
        <v>15</v>
      </c>
      <c r="H436" s="11" t="s">
        <v>295</v>
      </c>
      <c r="I436" s="11">
        <v>522</v>
      </c>
      <c r="J436" s="62" t="s">
        <v>90</v>
      </c>
      <c r="K436" s="62">
        <v>500</v>
      </c>
      <c r="L436" s="62">
        <v>2017</v>
      </c>
      <c r="M436" s="24">
        <f>M438+M439</f>
        <v>177941888.10999998</v>
      </c>
      <c r="N436" s="24">
        <f>N438+N439</f>
        <v>176918182.74</v>
      </c>
      <c r="O436" s="24">
        <f>O438+O439</f>
        <v>176918182.73999998</v>
      </c>
      <c r="P436" s="24">
        <f t="shared" si="32"/>
        <v>99.4246968036176</v>
      </c>
    </row>
    <row r="437" spans="1:16" ht="18" customHeight="1">
      <c r="A437" s="78" t="s">
        <v>49</v>
      </c>
      <c r="B437" s="11"/>
      <c r="C437" s="11"/>
      <c r="D437" s="74"/>
      <c r="E437" s="11"/>
      <c r="F437" s="11"/>
      <c r="G437" s="11"/>
      <c r="H437" s="11"/>
      <c r="I437" s="11"/>
      <c r="J437" s="62"/>
      <c r="K437" s="62"/>
      <c r="L437" s="62"/>
      <c r="M437" s="24"/>
      <c r="N437" s="25"/>
      <c r="O437" s="25"/>
      <c r="P437" s="24"/>
    </row>
    <row r="438" spans="1:16" ht="20.25" customHeight="1">
      <c r="A438" s="78" t="s">
        <v>345</v>
      </c>
      <c r="B438" s="11"/>
      <c r="C438" s="11"/>
      <c r="D438" s="74"/>
      <c r="E438" s="11"/>
      <c r="F438" s="11"/>
      <c r="G438" s="11"/>
      <c r="H438" s="11"/>
      <c r="I438" s="11"/>
      <c r="J438" s="62"/>
      <c r="K438" s="62"/>
      <c r="L438" s="62"/>
      <c r="M438" s="24">
        <v>160147699.29</v>
      </c>
      <c r="N438" s="24">
        <v>159226364.47</v>
      </c>
      <c r="O438" s="24">
        <v>159226364.48</v>
      </c>
      <c r="P438" s="24">
        <f t="shared" si="32"/>
        <v>99.42469681794702</v>
      </c>
    </row>
    <row r="439" spans="1:16" ht="18.75" customHeight="1">
      <c r="A439" s="78" t="s">
        <v>346</v>
      </c>
      <c r="B439" s="11"/>
      <c r="C439" s="11"/>
      <c r="D439" s="74"/>
      <c r="E439" s="11"/>
      <c r="F439" s="11"/>
      <c r="G439" s="11"/>
      <c r="H439" s="11"/>
      <c r="I439" s="11"/>
      <c r="J439" s="62"/>
      <c r="K439" s="62"/>
      <c r="L439" s="62"/>
      <c r="M439" s="24">
        <v>17794188.82</v>
      </c>
      <c r="N439" s="24">
        <v>17691818.27</v>
      </c>
      <c r="O439" s="24">
        <v>17691818.26</v>
      </c>
      <c r="P439" s="24">
        <f t="shared" si="32"/>
        <v>99.42469667465292</v>
      </c>
    </row>
    <row r="440" spans="1:16" ht="15.75">
      <c r="A440" s="73" t="s">
        <v>56</v>
      </c>
      <c r="B440" s="11"/>
      <c r="C440" s="11"/>
      <c r="D440" s="74"/>
      <c r="E440" s="11"/>
      <c r="F440" s="11"/>
      <c r="G440" s="11"/>
      <c r="H440" s="11"/>
      <c r="I440" s="11"/>
      <c r="J440" s="62"/>
      <c r="K440" s="62"/>
      <c r="L440" s="62"/>
      <c r="M440" s="25">
        <f>M441+M445</f>
        <v>331374243.92999995</v>
      </c>
      <c r="N440" s="25">
        <f>N441+N445</f>
        <v>280001216.27</v>
      </c>
      <c r="O440" s="25">
        <f>O441+O445</f>
        <v>269155355.77</v>
      </c>
      <c r="P440" s="25">
        <f t="shared" si="32"/>
        <v>81.22398185746049</v>
      </c>
    </row>
    <row r="441" spans="1:16" ht="31.5">
      <c r="A441" s="10" t="s">
        <v>134</v>
      </c>
      <c r="B441" s="11">
        <v>20</v>
      </c>
      <c r="C441" s="11">
        <v>0</v>
      </c>
      <c r="D441" s="74" t="s">
        <v>13</v>
      </c>
      <c r="E441" s="11">
        <v>819</v>
      </c>
      <c r="F441" s="11" t="s">
        <v>21</v>
      </c>
      <c r="G441" s="11" t="s">
        <v>15</v>
      </c>
      <c r="H441" s="11" t="s">
        <v>295</v>
      </c>
      <c r="I441" s="11">
        <v>522</v>
      </c>
      <c r="J441" s="62" t="s">
        <v>90</v>
      </c>
      <c r="K441" s="62">
        <v>500</v>
      </c>
      <c r="L441" s="62">
        <v>2017</v>
      </c>
      <c r="M441" s="24">
        <f>M443+M444</f>
        <v>171081457.26999998</v>
      </c>
      <c r="N441" s="24">
        <f>N443+N444</f>
        <v>171081457.26999998</v>
      </c>
      <c r="O441" s="24">
        <f>O443+O444</f>
        <v>171081457.26999998</v>
      </c>
      <c r="P441" s="24">
        <f t="shared" si="32"/>
        <v>100</v>
      </c>
    </row>
    <row r="442" spans="1:16" ht="17.25" customHeight="1">
      <c r="A442" s="78" t="s">
        <v>49</v>
      </c>
      <c r="B442" s="11"/>
      <c r="C442" s="11"/>
      <c r="D442" s="74"/>
      <c r="E442" s="11"/>
      <c r="F442" s="11"/>
      <c r="G442" s="11"/>
      <c r="H442" s="11"/>
      <c r="I442" s="11"/>
      <c r="J442" s="62"/>
      <c r="K442" s="62"/>
      <c r="L442" s="62"/>
      <c r="M442" s="24"/>
      <c r="N442" s="24"/>
      <c r="O442" s="24"/>
      <c r="P442" s="24"/>
    </row>
    <row r="443" spans="1:16" ht="16.5" customHeight="1">
      <c r="A443" s="78" t="s">
        <v>345</v>
      </c>
      <c r="B443" s="11"/>
      <c r="C443" s="11"/>
      <c r="D443" s="74"/>
      <c r="E443" s="11"/>
      <c r="F443" s="11"/>
      <c r="G443" s="11"/>
      <c r="H443" s="11"/>
      <c r="I443" s="11"/>
      <c r="J443" s="62"/>
      <c r="K443" s="62"/>
      <c r="L443" s="62"/>
      <c r="M443" s="24">
        <v>153973311.54</v>
      </c>
      <c r="N443" s="115">
        <v>153973311.54</v>
      </c>
      <c r="O443" s="115">
        <v>153973311.54</v>
      </c>
      <c r="P443" s="24">
        <f t="shared" si="32"/>
        <v>100</v>
      </c>
    </row>
    <row r="444" spans="1:16" ht="18" customHeight="1">
      <c r="A444" s="78" t="s">
        <v>346</v>
      </c>
      <c r="B444" s="11"/>
      <c r="C444" s="11"/>
      <c r="D444" s="74"/>
      <c r="E444" s="11"/>
      <c r="F444" s="11"/>
      <c r="G444" s="11"/>
      <c r="H444" s="11"/>
      <c r="I444" s="11"/>
      <c r="J444" s="62"/>
      <c r="K444" s="62"/>
      <c r="L444" s="62"/>
      <c r="M444" s="24">
        <v>17108145.73</v>
      </c>
      <c r="N444" s="116">
        <v>17108145.73</v>
      </c>
      <c r="O444" s="116">
        <v>17108145.73</v>
      </c>
      <c r="P444" s="24">
        <f t="shared" si="32"/>
        <v>100</v>
      </c>
    </row>
    <row r="445" spans="1:16" ht="31.5">
      <c r="A445" s="110" t="s">
        <v>137</v>
      </c>
      <c r="B445" s="11">
        <v>20</v>
      </c>
      <c r="C445" s="11">
        <v>0</v>
      </c>
      <c r="D445" s="74" t="s">
        <v>13</v>
      </c>
      <c r="E445" s="11" t="s">
        <v>26</v>
      </c>
      <c r="F445" s="11" t="s">
        <v>21</v>
      </c>
      <c r="G445" s="11" t="s">
        <v>15</v>
      </c>
      <c r="H445" s="11" t="s">
        <v>295</v>
      </c>
      <c r="I445" s="11" t="s">
        <v>71</v>
      </c>
      <c r="J445" s="62" t="s">
        <v>90</v>
      </c>
      <c r="K445" s="62">
        <v>160</v>
      </c>
      <c r="L445" s="62">
        <v>2017</v>
      </c>
      <c r="M445" s="24">
        <f>M447+M448</f>
        <v>160292786.66</v>
      </c>
      <c r="N445" s="24">
        <f>N447+N448</f>
        <v>108919759</v>
      </c>
      <c r="O445" s="24">
        <f>O447+O448</f>
        <v>98073898.5</v>
      </c>
      <c r="P445" s="24">
        <f t="shared" si="32"/>
        <v>61.18422453283963</v>
      </c>
    </row>
    <row r="446" spans="1:16" ht="12.75" customHeight="1">
      <c r="A446" s="78" t="s">
        <v>49</v>
      </c>
      <c r="B446" s="11"/>
      <c r="C446" s="11"/>
      <c r="D446" s="74"/>
      <c r="E446" s="11"/>
      <c r="F446" s="11"/>
      <c r="G446" s="11"/>
      <c r="H446" s="11"/>
      <c r="I446" s="11"/>
      <c r="J446" s="62"/>
      <c r="K446" s="62"/>
      <c r="L446" s="62"/>
      <c r="M446" s="24"/>
      <c r="N446" s="22"/>
      <c r="O446" s="22"/>
      <c r="P446" s="24"/>
    </row>
    <row r="447" spans="1:16" s="21" customFormat="1" ht="16.5" customHeight="1">
      <c r="A447" s="78" t="s">
        <v>345</v>
      </c>
      <c r="B447" s="11"/>
      <c r="C447" s="11"/>
      <c r="D447" s="74"/>
      <c r="E447" s="11"/>
      <c r="F447" s="11"/>
      <c r="G447" s="11"/>
      <c r="H447" s="11"/>
      <c r="I447" s="11"/>
      <c r="J447" s="62"/>
      <c r="K447" s="62"/>
      <c r="L447" s="62"/>
      <c r="M447" s="24">
        <v>144263508</v>
      </c>
      <c r="N447" s="116">
        <v>98027783.1</v>
      </c>
      <c r="O447" s="116">
        <v>88266508.65</v>
      </c>
      <c r="P447" s="24">
        <f t="shared" si="32"/>
        <v>61.18422453029494</v>
      </c>
    </row>
    <row r="448" spans="1:16" ht="17.25" customHeight="1">
      <c r="A448" s="78" t="s">
        <v>346</v>
      </c>
      <c r="B448" s="11"/>
      <c r="C448" s="11"/>
      <c r="D448" s="74"/>
      <c r="E448" s="11"/>
      <c r="F448" s="11"/>
      <c r="G448" s="11"/>
      <c r="H448" s="11"/>
      <c r="I448" s="11"/>
      <c r="J448" s="62"/>
      <c r="K448" s="62"/>
      <c r="L448" s="62"/>
      <c r="M448" s="24">
        <v>16029278.66</v>
      </c>
      <c r="N448" s="117">
        <v>10891975.9</v>
      </c>
      <c r="O448" s="117">
        <v>9807389.85</v>
      </c>
      <c r="P448" s="24">
        <f t="shared" si="32"/>
        <v>61.18422455574179</v>
      </c>
    </row>
    <row r="449" spans="1:16" ht="35.25" customHeight="1">
      <c r="A449" s="45" t="s">
        <v>341</v>
      </c>
      <c r="B449" s="40" t="s">
        <v>45</v>
      </c>
      <c r="C449" s="40">
        <v>0</v>
      </c>
      <c r="D449" s="40"/>
      <c r="E449" s="75" t="s">
        <v>0</v>
      </c>
      <c r="F449" s="75" t="s">
        <v>0</v>
      </c>
      <c r="G449" s="75" t="s">
        <v>0</v>
      </c>
      <c r="H449" s="40"/>
      <c r="I449" s="40"/>
      <c r="J449" s="62"/>
      <c r="K449" s="62"/>
      <c r="L449" s="62"/>
      <c r="M449" s="31">
        <f>M451</f>
        <v>79666131</v>
      </c>
      <c r="N449" s="31">
        <f>N451</f>
        <v>3036167</v>
      </c>
      <c r="O449" s="31">
        <f>O451</f>
        <v>1845832</v>
      </c>
      <c r="P449" s="25">
        <f t="shared" si="32"/>
        <v>2.3169595119411532</v>
      </c>
    </row>
    <row r="450" spans="1:16" ht="15.75">
      <c r="A450" s="14" t="s">
        <v>104</v>
      </c>
      <c r="B450" s="63" t="s">
        <v>45</v>
      </c>
      <c r="C450" s="63">
        <v>0</v>
      </c>
      <c r="D450" s="63">
        <v>14</v>
      </c>
      <c r="E450" s="75"/>
      <c r="F450" s="75"/>
      <c r="G450" s="75"/>
      <c r="H450" s="40"/>
      <c r="I450" s="40"/>
      <c r="J450" s="62"/>
      <c r="K450" s="62"/>
      <c r="L450" s="62"/>
      <c r="M450" s="31">
        <f aca="true" t="shared" si="35" ref="M450:O451">M451</f>
        <v>79666131</v>
      </c>
      <c r="N450" s="31">
        <f t="shared" si="35"/>
        <v>3036167</v>
      </c>
      <c r="O450" s="31">
        <f t="shared" si="35"/>
        <v>1845832</v>
      </c>
      <c r="P450" s="25">
        <f t="shared" si="32"/>
        <v>2.3169595119411532</v>
      </c>
    </row>
    <row r="451" spans="1:16" ht="15.75">
      <c r="A451" s="45" t="s">
        <v>25</v>
      </c>
      <c r="B451" s="40" t="s">
        <v>45</v>
      </c>
      <c r="C451" s="40">
        <v>0</v>
      </c>
      <c r="D451" s="63">
        <v>14</v>
      </c>
      <c r="E451" s="40" t="s">
        <v>26</v>
      </c>
      <c r="F451" s="40" t="s">
        <v>0</v>
      </c>
      <c r="G451" s="40" t="s">
        <v>0</v>
      </c>
      <c r="H451" s="40"/>
      <c r="I451" s="40"/>
      <c r="J451" s="62"/>
      <c r="K451" s="62"/>
      <c r="L451" s="62"/>
      <c r="M451" s="31">
        <f t="shared" si="35"/>
        <v>79666131</v>
      </c>
      <c r="N451" s="31">
        <f t="shared" si="35"/>
        <v>3036167</v>
      </c>
      <c r="O451" s="31">
        <f t="shared" si="35"/>
        <v>1845832</v>
      </c>
      <c r="P451" s="25">
        <f t="shared" si="32"/>
        <v>2.3169595119411532</v>
      </c>
    </row>
    <row r="452" spans="1:16" ht="15.75">
      <c r="A452" s="45" t="s">
        <v>46</v>
      </c>
      <c r="B452" s="40" t="s">
        <v>45</v>
      </c>
      <c r="C452" s="40">
        <v>0</v>
      </c>
      <c r="D452" s="63">
        <v>14</v>
      </c>
      <c r="E452" s="40" t="s">
        <v>26</v>
      </c>
      <c r="F452" s="40" t="s">
        <v>13</v>
      </c>
      <c r="G452" s="40" t="s">
        <v>0</v>
      </c>
      <c r="H452" s="40"/>
      <c r="I452" s="40"/>
      <c r="J452" s="62"/>
      <c r="K452" s="62"/>
      <c r="L452" s="62"/>
      <c r="M452" s="31">
        <f>M453+M462</f>
        <v>79666131</v>
      </c>
      <c r="N452" s="31">
        <f>N453+N462</f>
        <v>3036167</v>
      </c>
      <c r="O452" s="31">
        <f>O453+O462</f>
        <v>1845832</v>
      </c>
      <c r="P452" s="25">
        <f t="shared" si="32"/>
        <v>2.3169595119411532</v>
      </c>
    </row>
    <row r="453" spans="1:16" ht="15.75">
      <c r="A453" s="45" t="s">
        <v>47</v>
      </c>
      <c r="B453" s="40" t="s">
        <v>45</v>
      </c>
      <c r="C453" s="40">
        <v>0</v>
      </c>
      <c r="D453" s="63">
        <v>14</v>
      </c>
      <c r="E453" s="40" t="s">
        <v>26</v>
      </c>
      <c r="F453" s="40" t="s">
        <v>13</v>
      </c>
      <c r="G453" s="40" t="s">
        <v>14</v>
      </c>
      <c r="H453" s="40"/>
      <c r="I453" s="40"/>
      <c r="J453" s="62"/>
      <c r="K453" s="62"/>
      <c r="L453" s="62"/>
      <c r="M453" s="31">
        <f aca="true" t="shared" si="36" ref="M453:O454">M454</f>
        <v>77603692</v>
      </c>
      <c r="N453" s="31">
        <f t="shared" si="36"/>
        <v>1190335</v>
      </c>
      <c r="O453" s="31">
        <f t="shared" si="36"/>
        <v>0</v>
      </c>
      <c r="P453" s="25">
        <f t="shared" si="32"/>
        <v>0</v>
      </c>
    </row>
    <row r="454" spans="1:16" ht="31.5">
      <c r="A454" s="45" t="s">
        <v>74</v>
      </c>
      <c r="B454" s="40" t="s">
        <v>45</v>
      </c>
      <c r="C454" s="40">
        <v>0</v>
      </c>
      <c r="D454" s="63">
        <v>14</v>
      </c>
      <c r="E454" s="40" t="s">
        <v>26</v>
      </c>
      <c r="F454" s="40" t="s">
        <v>13</v>
      </c>
      <c r="G454" s="40" t="s">
        <v>14</v>
      </c>
      <c r="H454" s="40">
        <v>11270</v>
      </c>
      <c r="I454" s="40" t="s">
        <v>0</v>
      </c>
      <c r="J454" s="62"/>
      <c r="K454" s="62"/>
      <c r="L454" s="62"/>
      <c r="M454" s="31">
        <f t="shared" si="36"/>
        <v>77603692</v>
      </c>
      <c r="N454" s="31">
        <f t="shared" si="36"/>
        <v>1190335</v>
      </c>
      <c r="O454" s="31">
        <f t="shared" si="36"/>
        <v>0</v>
      </c>
      <c r="P454" s="25">
        <f t="shared" si="32"/>
        <v>0</v>
      </c>
    </row>
    <row r="455" spans="1:16" ht="31.5">
      <c r="A455" s="45" t="s">
        <v>70</v>
      </c>
      <c r="B455" s="40" t="s">
        <v>45</v>
      </c>
      <c r="C455" s="40">
        <v>0</v>
      </c>
      <c r="D455" s="63">
        <v>14</v>
      </c>
      <c r="E455" s="40" t="s">
        <v>26</v>
      </c>
      <c r="F455" s="40" t="s">
        <v>13</v>
      </c>
      <c r="G455" s="40" t="s">
        <v>14</v>
      </c>
      <c r="H455" s="40">
        <v>11270</v>
      </c>
      <c r="I455" s="40" t="s">
        <v>71</v>
      </c>
      <c r="J455" s="62"/>
      <c r="K455" s="62"/>
      <c r="L455" s="62"/>
      <c r="M455" s="28">
        <f>M458+M460+M456</f>
        <v>77603692</v>
      </c>
      <c r="N455" s="28">
        <f>N458+N460+N456</f>
        <v>1190335</v>
      </c>
      <c r="O455" s="28">
        <f>O458+O460+O456</f>
        <v>0</v>
      </c>
      <c r="P455" s="25">
        <f t="shared" si="32"/>
        <v>0</v>
      </c>
    </row>
    <row r="456" spans="1:16" ht="15.75">
      <c r="A456" s="45" t="s">
        <v>59</v>
      </c>
      <c r="B456" s="40"/>
      <c r="C456" s="40"/>
      <c r="D456" s="63"/>
      <c r="E456" s="40"/>
      <c r="F456" s="40"/>
      <c r="G456" s="40"/>
      <c r="H456" s="40"/>
      <c r="I456" s="40"/>
      <c r="J456" s="62"/>
      <c r="K456" s="62"/>
      <c r="L456" s="62"/>
      <c r="M456" s="28">
        <f>M457</f>
        <v>1190335</v>
      </c>
      <c r="N456" s="28">
        <f>N457</f>
        <v>1190335</v>
      </c>
      <c r="O456" s="28">
        <f>O457</f>
        <v>0</v>
      </c>
      <c r="P456" s="25">
        <f t="shared" si="32"/>
        <v>0</v>
      </c>
    </row>
    <row r="457" spans="1:16" ht="15.75">
      <c r="A457" s="43" t="s">
        <v>419</v>
      </c>
      <c r="B457" s="11" t="s">
        <v>45</v>
      </c>
      <c r="C457" s="11">
        <v>0</v>
      </c>
      <c r="D457" s="11">
        <v>14</v>
      </c>
      <c r="E457" s="11" t="s">
        <v>26</v>
      </c>
      <c r="F457" s="11" t="s">
        <v>13</v>
      </c>
      <c r="G457" s="11" t="s">
        <v>14</v>
      </c>
      <c r="H457" s="11">
        <v>11270</v>
      </c>
      <c r="I457" s="11" t="s">
        <v>71</v>
      </c>
      <c r="J457" s="62" t="s">
        <v>420</v>
      </c>
      <c r="K457" s="62">
        <v>56</v>
      </c>
      <c r="L457" s="62">
        <v>2017</v>
      </c>
      <c r="M457" s="30">
        <v>1190335</v>
      </c>
      <c r="N457" s="116">
        <v>1190335</v>
      </c>
      <c r="O457" s="116">
        <v>0</v>
      </c>
      <c r="P457" s="24">
        <f t="shared" si="32"/>
        <v>0</v>
      </c>
    </row>
    <row r="458" spans="1:16" ht="15.75">
      <c r="A458" s="45" t="s">
        <v>55</v>
      </c>
      <c r="B458" s="113"/>
      <c r="C458" s="113"/>
      <c r="D458" s="113"/>
      <c r="E458" s="113"/>
      <c r="F458" s="113"/>
      <c r="G458" s="113"/>
      <c r="H458" s="113"/>
      <c r="I458" s="113"/>
      <c r="J458" s="62"/>
      <c r="K458" s="62"/>
      <c r="L458" s="62"/>
      <c r="M458" s="25">
        <f>M459</f>
        <v>21050000</v>
      </c>
      <c r="N458" s="25">
        <f>N459</f>
        <v>0</v>
      </c>
      <c r="O458" s="25">
        <f>O459</f>
        <v>0</v>
      </c>
      <c r="P458" s="25">
        <f t="shared" si="32"/>
        <v>0</v>
      </c>
    </row>
    <row r="459" spans="1:16" ht="31.5">
      <c r="A459" s="43" t="s">
        <v>421</v>
      </c>
      <c r="B459" s="11" t="s">
        <v>45</v>
      </c>
      <c r="C459" s="11">
        <v>0</v>
      </c>
      <c r="D459" s="11">
        <v>14</v>
      </c>
      <c r="E459" s="11" t="s">
        <v>26</v>
      </c>
      <c r="F459" s="11" t="s">
        <v>13</v>
      </c>
      <c r="G459" s="11" t="s">
        <v>14</v>
      </c>
      <c r="H459" s="11">
        <v>11270</v>
      </c>
      <c r="I459" s="11" t="s">
        <v>71</v>
      </c>
      <c r="J459" s="62" t="s">
        <v>53</v>
      </c>
      <c r="K459" s="62">
        <v>2000</v>
      </c>
      <c r="L459" s="62">
        <v>2017</v>
      </c>
      <c r="M459" s="24">
        <f>18050000+3000000</f>
        <v>21050000</v>
      </c>
      <c r="N459" s="116">
        <v>0</v>
      </c>
      <c r="O459" s="116">
        <v>0</v>
      </c>
      <c r="P459" s="24">
        <f t="shared" si="32"/>
        <v>0</v>
      </c>
    </row>
    <row r="460" spans="1:16" ht="15.75">
      <c r="A460" s="45" t="s">
        <v>60</v>
      </c>
      <c r="B460" s="11"/>
      <c r="C460" s="11"/>
      <c r="D460" s="11"/>
      <c r="E460" s="11"/>
      <c r="F460" s="11"/>
      <c r="G460" s="11"/>
      <c r="H460" s="11"/>
      <c r="I460" s="11"/>
      <c r="J460" s="62"/>
      <c r="K460" s="62"/>
      <c r="L460" s="62"/>
      <c r="M460" s="25">
        <f>M461</f>
        <v>55363357</v>
      </c>
      <c r="N460" s="25">
        <f>N461</f>
        <v>0</v>
      </c>
      <c r="O460" s="25">
        <f>O461</f>
        <v>0</v>
      </c>
      <c r="P460" s="25">
        <f t="shared" si="32"/>
        <v>0</v>
      </c>
    </row>
    <row r="461" spans="1:16" ht="15.75">
      <c r="A461" s="43" t="s">
        <v>422</v>
      </c>
      <c r="B461" s="11" t="s">
        <v>45</v>
      </c>
      <c r="C461" s="11">
        <v>0</v>
      </c>
      <c r="D461" s="11">
        <v>14</v>
      </c>
      <c r="E461" s="11" t="s">
        <v>26</v>
      </c>
      <c r="F461" s="11" t="s">
        <v>13</v>
      </c>
      <c r="G461" s="11" t="s">
        <v>14</v>
      </c>
      <c r="H461" s="11">
        <v>11270</v>
      </c>
      <c r="I461" s="11" t="s">
        <v>71</v>
      </c>
      <c r="J461" s="62" t="s">
        <v>110</v>
      </c>
      <c r="K461" s="62">
        <v>40</v>
      </c>
      <c r="L461" s="62">
        <v>2018</v>
      </c>
      <c r="M461" s="24">
        <v>55363357</v>
      </c>
      <c r="N461" s="116">
        <v>0</v>
      </c>
      <c r="O461" s="116">
        <v>0</v>
      </c>
      <c r="P461" s="24">
        <f t="shared" si="32"/>
        <v>0</v>
      </c>
    </row>
    <row r="462" spans="1:16" ht="15.75">
      <c r="A462" s="45" t="s">
        <v>48</v>
      </c>
      <c r="B462" s="40" t="s">
        <v>45</v>
      </c>
      <c r="C462" s="40">
        <v>0</v>
      </c>
      <c r="D462" s="63">
        <v>14</v>
      </c>
      <c r="E462" s="40" t="s">
        <v>26</v>
      </c>
      <c r="F462" s="40" t="s">
        <v>13</v>
      </c>
      <c r="G462" s="46" t="s">
        <v>15</v>
      </c>
      <c r="H462" s="11"/>
      <c r="I462" s="11"/>
      <c r="J462" s="62"/>
      <c r="K462" s="62"/>
      <c r="L462" s="62"/>
      <c r="M462" s="25">
        <f>M463</f>
        <v>2062439</v>
      </c>
      <c r="N462" s="25">
        <f aca="true" t="shared" si="37" ref="N462:O465">N463</f>
        <v>1845832</v>
      </c>
      <c r="O462" s="25">
        <f t="shared" si="37"/>
        <v>1845832</v>
      </c>
      <c r="P462" s="25">
        <f t="shared" si="32"/>
        <v>89.49753180578917</v>
      </c>
    </row>
    <row r="463" spans="1:16" ht="31.5">
      <c r="A463" s="45" t="s">
        <v>74</v>
      </c>
      <c r="B463" s="40" t="s">
        <v>45</v>
      </c>
      <c r="C463" s="40">
        <v>0</v>
      </c>
      <c r="D463" s="63">
        <v>14</v>
      </c>
      <c r="E463" s="40" t="s">
        <v>26</v>
      </c>
      <c r="F463" s="40" t="s">
        <v>13</v>
      </c>
      <c r="G463" s="46" t="s">
        <v>15</v>
      </c>
      <c r="H463" s="40">
        <v>11270</v>
      </c>
      <c r="I463" s="11"/>
      <c r="J463" s="62"/>
      <c r="K463" s="62"/>
      <c r="L463" s="62"/>
      <c r="M463" s="25">
        <f>M464</f>
        <v>2062439</v>
      </c>
      <c r="N463" s="25">
        <f t="shared" si="37"/>
        <v>1845832</v>
      </c>
      <c r="O463" s="25">
        <f t="shared" si="37"/>
        <v>1845832</v>
      </c>
      <c r="P463" s="25">
        <f t="shared" si="32"/>
        <v>89.49753180578917</v>
      </c>
    </row>
    <row r="464" spans="1:16" ht="31.5">
      <c r="A464" s="45" t="s">
        <v>70</v>
      </c>
      <c r="B464" s="40" t="s">
        <v>45</v>
      </c>
      <c r="C464" s="40">
        <v>0</v>
      </c>
      <c r="D464" s="63">
        <v>14</v>
      </c>
      <c r="E464" s="40" t="s">
        <v>26</v>
      </c>
      <c r="F464" s="40" t="s">
        <v>13</v>
      </c>
      <c r="G464" s="46" t="s">
        <v>15</v>
      </c>
      <c r="H464" s="40">
        <v>11270</v>
      </c>
      <c r="I464" s="40">
        <v>522</v>
      </c>
      <c r="J464" s="62"/>
      <c r="K464" s="62"/>
      <c r="L464" s="62"/>
      <c r="M464" s="25">
        <f>M465</f>
        <v>2062439</v>
      </c>
      <c r="N464" s="25">
        <f t="shared" si="37"/>
        <v>1845832</v>
      </c>
      <c r="O464" s="25">
        <f t="shared" si="37"/>
        <v>1845832</v>
      </c>
      <c r="P464" s="25">
        <f t="shared" si="32"/>
        <v>89.49753180578917</v>
      </c>
    </row>
    <row r="465" spans="1:16" ht="15.75">
      <c r="A465" s="45" t="s">
        <v>272</v>
      </c>
      <c r="B465" s="40"/>
      <c r="C465" s="40"/>
      <c r="D465" s="40"/>
      <c r="E465" s="40"/>
      <c r="F465" s="40"/>
      <c r="G465" s="40"/>
      <c r="H465" s="40"/>
      <c r="I465" s="40"/>
      <c r="J465" s="62"/>
      <c r="K465" s="62"/>
      <c r="L465" s="62"/>
      <c r="M465" s="25">
        <f>M466</f>
        <v>2062439</v>
      </c>
      <c r="N465" s="25">
        <f t="shared" si="37"/>
        <v>1845832</v>
      </c>
      <c r="O465" s="25">
        <f t="shared" si="37"/>
        <v>1845832</v>
      </c>
      <c r="P465" s="25">
        <f t="shared" si="32"/>
        <v>89.49753180578917</v>
      </c>
    </row>
    <row r="466" spans="1:16" ht="51" customHeight="1">
      <c r="A466" s="61" t="s">
        <v>342</v>
      </c>
      <c r="B466" s="11" t="s">
        <v>45</v>
      </c>
      <c r="C466" s="11">
        <v>0</v>
      </c>
      <c r="D466" s="11">
        <v>14</v>
      </c>
      <c r="E466" s="11" t="s">
        <v>26</v>
      </c>
      <c r="F466" s="11" t="s">
        <v>13</v>
      </c>
      <c r="G466" s="74" t="s">
        <v>15</v>
      </c>
      <c r="H466" s="11">
        <v>11270</v>
      </c>
      <c r="I466" s="11" t="s">
        <v>71</v>
      </c>
      <c r="J466" s="62"/>
      <c r="K466" s="62"/>
      <c r="L466" s="62"/>
      <c r="M466" s="24">
        <v>2062439</v>
      </c>
      <c r="N466" s="116">
        <v>1845832</v>
      </c>
      <c r="O466" s="116">
        <v>1845832</v>
      </c>
      <c r="P466" s="24">
        <f t="shared" si="32"/>
        <v>89.49753180578917</v>
      </c>
    </row>
    <row r="472" spans="1:13" s="21" customFormat="1" ht="15.75">
      <c r="A472" s="133" t="s">
        <v>428</v>
      </c>
      <c r="B472" s="134"/>
      <c r="C472" s="134"/>
      <c r="D472" s="134"/>
      <c r="E472" s="134"/>
      <c r="F472" s="134"/>
      <c r="G472" s="134"/>
      <c r="H472" s="134"/>
      <c r="I472" s="134"/>
      <c r="J472" s="119"/>
      <c r="K472" s="119"/>
      <c r="L472" s="134"/>
      <c r="M472" s="21" t="s">
        <v>429</v>
      </c>
    </row>
    <row r="478" ht="15.75">
      <c r="A478" s="133" t="s">
        <v>431</v>
      </c>
    </row>
    <row r="479" ht="15.75">
      <c r="A479" s="118" t="s">
        <v>430</v>
      </c>
    </row>
  </sheetData>
  <sheetProtection/>
  <autoFilter ref="B7:I436"/>
  <mergeCells count="13">
    <mergeCell ref="A199:A202"/>
    <mergeCell ref="A203:A204"/>
    <mergeCell ref="A277:A278"/>
    <mergeCell ref="A135:A137"/>
    <mergeCell ref="A187:A188"/>
    <mergeCell ref="A189:A190"/>
    <mergeCell ref="A191:A194"/>
    <mergeCell ref="A2:P2"/>
    <mergeCell ref="A3:P3"/>
    <mergeCell ref="A4:P4"/>
    <mergeCell ref="A5:P5"/>
    <mergeCell ref="A6:P6"/>
    <mergeCell ref="A195:A198"/>
  </mergeCells>
  <printOptions horizontalCentered="1"/>
  <pageMargins left="0.5905511811023623" right="0.2362204724409449" top="0.5905511811023623" bottom="0.3937007874015748" header="0" footer="0.11811023622047245"/>
  <pageSetup fitToHeight="14" horizontalDpi="600" verticalDpi="600" orientation="landscape" paperSize="9" scale="5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2014-10-30T14:48:34Z</cp:lastPrinted>
  <dcterms:created xsi:type="dcterms:W3CDTF">2006-09-16T00:00:00Z</dcterms:created>
  <dcterms:modified xsi:type="dcterms:W3CDTF">2017-11-14T07:17:49Z</dcterms:modified>
  <cp:category/>
  <cp:version/>
  <cp:contentType/>
  <cp:contentStatus/>
</cp:coreProperties>
</file>